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omments1.xml" ContentType="application/vnd.openxmlformats-officedocument.spreadsheetml.comments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comments2.xml" ContentType="application/vnd.openxmlformats-officedocument.spreadsheetml.comments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comments3.xml" ContentType="application/vnd.openxmlformats-officedocument.spreadsheetml.comments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3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240" windowWidth="19440" windowHeight="12120" firstSheet="3" activeTab="13"/>
  </bookViews>
  <sheets>
    <sheet name="raw_Island" sheetId="2" r:id="rId1"/>
    <sheet name="all" sheetId="1" r:id="rId2"/>
    <sheet name="all_ex_postcap" sheetId="4" r:id="rId3"/>
    <sheet name="Purdu" sheetId="5" r:id="rId4"/>
    <sheet name="Purdu_ex_deep" sheetId="7" r:id="rId5"/>
    <sheet name="Purdu_2" sheetId="13" r:id="rId6"/>
    <sheet name="PCA" sheetId="8" r:id="rId7"/>
    <sheet name="PCA_ex_postcap" sheetId="9" r:id="rId8"/>
    <sheet name="Haunched" sheetId="16" r:id="rId9"/>
    <sheet name="Toronto" sheetId="12" r:id="rId10"/>
    <sheet name="4mdeep" sheetId="15" r:id="rId11"/>
    <sheet name="deep" sheetId="18" r:id="rId12"/>
    <sheet name="Uniform" sheetId="17" r:id="rId13"/>
    <sheet name="Uniform_0" sheetId="14" r:id="rId14"/>
    <sheet name="table_paper" sheetId="10" r:id="rId15"/>
    <sheet name="simpletable" sheetId="19" r:id="rId16"/>
  </sheets>
  <calcPr calcId="145621"/>
</workbook>
</file>

<file path=xl/calcChain.xml><?xml version="1.0" encoding="utf-8"?>
<calcChain xmlns="http://schemas.openxmlformats.org/spreadsheetml/2006/main">
  <c r="T43" i="14" l="1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2" i="14"/>
  <c r="T3" i="17"/>
  <c r="T4" i="17"/>
  <c r="T5" i="17"/>
  <c r="T6" i="17"/>
  <c r="T7" i="17"/>
  <c r="T8" i="17"/>
  <c r="T9" i="17"/>
  <c r="T10" i="17"/>
  <c r="T11" i="17"/>
  <c r="T12" i="17"/>
  <c r="T13" i="17"/>
  <c r="T14" i="17"/>
  <c r="T15" i="17"/>
  <c r="T16" i="17"/>
  <c r="T17" i="17"/>
  <c r="T18" i="17"/>
  <c r="T19" i="17"/>
  <c r="T20" i="17"/>
  <c r="T21" i="17"/>
  <c r="T22" i="17"/>
  <c r="T23" i="17"/>
  <c r="T24" i="17"/>
  <c r="T25" i="17"/>
  <c r="T26" i="17"/>
  <c r="T27" i="17"/>
  <c r="T28" i="17"/>
  <c r="T29" i="17"/>
  <c r="T30" i="17"/>
  <c r="T31" i="17"/>
  <c r="T32" i="17"/>
  <c r="T33" i="17"/>
  <c r="T34" i="17"/>
  <c r="T35" i="17"/>
  <c r="T36" i="17"/>
  <c r="T2" i="17"/>
  <c r="T3" i="18"/>
  <c r="T4" i="18"/>
  <c r="T5" i="18"/>
  <c r="T6" i="18"/>
  <c r="T7" i="18"/>
  <c r="T8" i="18"/>
  <c r="T9" i="18"/>
  <c r="T10" i="18"/>
  <c r="T11" i="18"/>
  <c r="T12" i="18"/>
  <c r="T13" i="18"/>
  <c r="T14" i="18"/>
  <c r="T15" i="18"/>
  <c r="T16" i="18"/>
  <c r="T17" i="18"/>
  <c r="T18" i="18"/>
  <c r="T19" i="18"/>
  <c r="T20" i="18"/>
  <c r="T21" i="18"/>
  <c r="T22" i="18"/>
  <c r="T23" i="18"/>
  <c r="T24" i="18"/>
  <c r="T25" i="18"/>
  <c r="T26" i="18"/>
  <c r="T27" i="18"/>
  <c r="T2" i="18"/>
  <c r="T3" i="15"/>
  <c r="T4" i="15"/>
  <c r="T5" i="15"/>
  <c r="T6" i="15"/>
  <c r="T7" i="15"/>
  <c r="T8" i="15"/>
  <c r="T9" i="15"/>
  <c r="T10" i="15"/>
  <c r="T11" i="15"/>
  <c r="T2" i="15"/>
  <c r="T6" i="12"/>
  <c r="T2" i="12"/>
  <c r="T3" i="12"/>
  <c r="T4" i="12"/>
  <c r="T5" i="12"/>
  <c r="T7" i="12"/>
  <c r="T8" i="12"/>
  <c r="T9" i="12"/>
  <c r="T10" i="12"/>
  <c r="T11" i="12"/>
  <c r="T12" i="12"/>
  <c r="T13" i="12"/>
  <c r="T14" i="12"/>
  <c r="T15" i="12"/>
  <c r="T16" i="12"/>
  <c r="T17" i="12"/>
  <c r="T18" i="12"/>
  <c r="T19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T174" i="12"/>
  <c r="T175" i="12"/>
  <c r="T176" i="12"/>
  <c r="T177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T198" i="12"/>
  <c r="T3" i="16"/>
  <c r="T4" i="16"/>
  <c r="T5" i="16"/>
  <c r="T6" i="16"/>
  <c r="T7" i="16"/>
  <c r="T8" i="16"/>
  <c r="T9" i="16"/>
  <c r="T10" i="16"/>
  <c r="T11" i="16"/>
  <c r="T12" i="16"/>
  <c r="T13" i="16"/>
  <c r="T14" i="16"/>
  <c r="T15" i="16"/>
  <c r="T16" i="16"/>
  <c r="T17" i="16"/>
  <c r="T18" i="16"/>
  <c r="T19" i="16"/>
  <c r="T20" i="16"/>
  <c r="T21" i="16"/>
  <c r="T22" i="16"/>
  <c r="T23" i="16"/>
  <c r="T24" i="16"/>
  <c r="T25" i="16"/>
  <c r="T26" i="16"/>
  <c r="T27" i="16"/>
  <c r="T28" i="16"/>
  <c r="T29" i="16"/>
  <c r="T2" i="16"/>
  <c r="T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35" i="9"/>
  <c r="T36" i="9"/>
  <c r="T37" i="9"/>
  <c r="T38" i="9"/>
  <c r="T39" i="9"/>
  <c r="T40" i="9"/>
  <c r="T41" i="9"/>
  <c r="T42" i="9"/>
  <c r="T43" i="9"/>
  <c r="T44" i="9"/>
  <c r="T45" i="9"/>
  <c r="T46" i="9"/>
  <c r="T47" i="9"/>
  <c r="T48" i="9"/>
  <c r="T49" i="9"/>
  <c r="T50" i="9"/>
  <c r="T51" i="9"/>
  <c r="T52" i="9"/>
  <c r="T53" i="9"/>
  <c r="T54" i="9"/>
  <c r="T55" i="9"/>
  <c r="T56" i="9"/>
  <c r="T57" i="9"/>
  <c r="T58" i="9"/>
  <c r="T59" i="9"/>
  <c r="T60" i="9"/>
  <c r="T61" i="9"/>
  <c r="T62" i="9"/>
  <c r="T63" i="9"/>
  <c r="T64" i="9"/>
  <c r="T65" i="9"/>
  <c r="T66" i="9"/>
  <c r="T67" i="9"/>
  <c r="T68" i="9"/>
  <c r="T69" i="9"/>
  <c r="T70" i="9"/>
  <c r="T71" i="9"/>
  <c r="T72" i="9"/>
  <c r="T73" i="9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2" i="8"/>
  <c r="T3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T60" i="13"/>
  <c r="T61" i="13"/>
  <c r="T62" i="13"/>
  <c r="T63" i="13"/>
  <c r="T64" i="13"/>
  <c r="T65" i="13"/>
  <c r="T66" i="13"/>
  <c r="T67" i="13"/>
  <c r="T68" i="13"/>
  <c r="T69" i="13"/>
  <c r="T70" i="13"/>
  <c r="T71" i="13"/>
  <c r="T72" i="13"/>
  <c r="T73" i="13"/>
  <c r="T74" i="13"/>
  <c r="T75" i="13"/>
  <c r="T76" i="13"/>
  <c r="T77" i="13"/>
  <c r="T78" i="13"/>
  <c r="T79" i="13"/>
  <c r="T80" i="13"/>
  <c r="T81" i="13"/>
  <c r="T82" i="13"/>
  <c r="T83" i="13"/>
  <c r="T2" i="13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2" i="7"/>
  <c r="T2" i="5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AH2" i="18"/>
  <c r="H2" i="18" s="1"/>
  <c r="I2" i="18"/>
  <c r="X43" i="14" l="1"/>
  <c r="X2" i="14"/>
  <c r="X41" i="14"/>
  <c r="X42" i="14"/>
  <c r="X3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36" i="17"/>
  <c r="X3" i="17"/>
  <c r="X4" i="17"/>
  <c r="X5" i="17"/>
  <c r="X6" i="17"/>
  <c r="X7" i="17"/>
  <c r="X8" i="17"/>
  <c r="X9" i="17"/>
  <c r="X10" i="17"/>
  <c r="X11" i="17"/>
  <c r="X12" i="17"/>
  <c r="X13" i="17"/>
  <c r="X14" i="17"/>
  <c r="X15" i="17"/>
  <c r="X16" i="17"/>
  <c r="X17" i="17"/>
  <c r="X18" i="17"/>
  <c r="X19" i="17"/>
  <c r="X20" i="17"/>
  <c r="X21" i="17"/>
  <c r="X22" i="17"/>
  <c r="X23" i="17"/>
  <c r="X24" i="17"/>
  <c r="X25" i="17"/>
  <c r="X26" i="17"/>
  <c r="X27" i="17"/>
  <c r="X28" i="17"/>
  <c r="X29" i="17"/>
  <c r="X30" i="17"/>
  <c r="X31" i="17"/>
  <c r="X32" i="17"/>
  <c r="X33" i="17"/>
  <c r="X34" i="17"/>
  <c r="X35" i="17"/>
  <c r="X2" i="17"/>
  <c r="X27" i="18"/>
  <c r="X3" i="18"/>
  <c r="X4" i="18"/>
  <c r="X5" i="18"/>
  <c r="X6" i="18"/>
  <c r="X7" i="18"/>
  <c r="X8" i="18"/>
  <c r="X9" i="18"/>
  <c r="X10" i="18"/>
  <c r="X11" i="18"/>
  <c r="X12" i="18"/>
  <c r="X13" i="18"/>
  <c r="X14" i="18"/>
  <c r="X15" i="18"/>
  <c r="X16" i="18"/>
  <c r="X17" i="18"/>
  <c r="X18" i="18"/>
  <c r="X19" i="18"/>
  <c r="X20" i="18"/>
  <c r="X21" i="18"/>
  <c r="X22" i="18"/>
  <c r="X23" i="18"/>
  <c r="X24" i="18"/>
  <c r="X25" i="18"/>
  <c r="X26" i="18"/>
  <c r="X2" i="18"/>
  <c r="X3" i="15"/>
  <c r="X4" i="15"/>
  <c r="X5" i="15"/>
  <c r="X6" i="15"/>
  <c r="X7" i="15"/>
  <c r="X8" i="15"/>
  <c r="X9" i="15"/>
  <c r="X10" i="15"/>
  <c r="X11" i="15"/>
  <c r="X2" i="15"/>
  <c r="X198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3" i="12"/>
  <c r="X44" i="12"/>
  <c r="X45" i="12"/>
  <c r="X46" i="12"/>
  <c r="X47" i="12"/>
  <c r="X48" i="12"/>
  <c r="X49" i="12"/>
  <c r="X50" i="12"/>
  <c r="X51" i="12"/>
  <c r="X52" i="12"/>
  <c r="X53" i="12"/>
  <c r="X54" i="12"/>
  <c r="X55" i="12"/>
  <c r="X56" i="12"/>
  <c r="X57" i="12"/>
  <c r="X58" i="12"/>
  <c r="X59" i="12"/>
  <c r="X60" i="12"/>
  <c r="X61" i="12"/>
  <c r="X62" i="12"/>
  <c r="X63" i="12"/>
  <c r="X64" i="12"/>
  <c r="X65" i="12"/>
  <c r="X66" i="12"/>
  <c r="X67" i="12"/>
  <c r="X68" i="12"/>
  <c r="X69" i="12"/>
  <c r="X70" i="12"/>
  <c r="X71" i="12"/>
  <c r="X72" i="12"/>
  <c r="X73" i="12"/>
  <c r="X74" i="12"/>
  <c r="X75" i="12"/>
  <c r="X76" i="12"/>
  <c r="X77" i="12"/>
  <c r="X78" i="12"/>
  <c r="X79" i="12"/>
  <c r="X80" i="12"/>
  <c r="X81" i="12"/>
  <c r="X82" i="12"/>
  <c r="X83" i="12"/>
  <c r="X84" i="12"/>
  <c r="X85" i="12"/>
  <c r="X86" i="12"/>
  <c r="X87" i="12"/>
  <c r="X88" i="12"/>
  <c r="X89" i="12"/>
  <c r="X90" i="12"/>
  <c r="X91" i="12"/>
  <c r="X92" i="12"/>
  <c r="X93" i="12"/>
  <c r="X94" i="12"/>
  <c r="X95" i="12"/>
  <c r="X96" i="12"/>
  <c r="X97" i="12"/>
  <c r="X98" i="12"/>
  <c r="X99" i="12"/>
  <c r="X100" i="12"/>
  <c r="X101" i="12"/>
  <c r="X102" i="12"/>
  <c r="X103" i="12"/>
  <c r="X104" i="12"/>
  <c r="X105" i="12"/>
  <c r="X106" i="12"/>
  <c r="X107" i="12"/>
  <c r="X108" i="12"/>
  <c r="X109" i="12"/>
  <c r="X110" i="12"/>
  <c r="X111" i="12"/>
  <c r="X112" i="12"/>
  <c r="X113" i="12"/>
  <c r="X114" i="12"/>
  <c r="X115" i="12"/>
  <c r="X116" i="12"/>
  <c r="X117" i="12"/>
  <c r="X118" i="12"/>
  <c r="X119" i="12"/>
  <c r="X120" i="12"/>
  <c r="X121" i="12"/>
  <c r="X122" i="12"/>
  <c r="X123" i="12"/>
  <c r="X124" i="12"/>
  <c r="X125" i="12"/>
  <c r="X126" i="12"/>
  <c r="X127" i="12"/>
  <c r="X128" i="12"/>
  <c r="X129" i="12"/>
  <c r="X130" i="12"/>
  <c r="X131" i="12"/>
  <c r="X132" i="12"/>
  <c r="X133" i="12"/>
  <c r="X134" i="12"/>
  <c r="X135" i="12"/>
  <c r="X136" i="12"/>
  <c r="X137" i="12"/>
  <c r="X138" i="12"/>
  <c r="X139" i="12"/>
  <c r="X140" i="12"/>
  <c r="X141" i="12"/>
  <c r="X142" i="12"/>
  <c r="X143" i="12"/>
  <c r="X144" i="12"/>
  <c r="X145" i="12"/>
  <c r="X146" i="12"/>
  <c r="X147" i="12"/>
  <c r="X148" i="12"/>
  <c r="X149" i="12"/>
  <c r="X150" i="12"/>
  <c r="X151" i="12"/>
  <c r="X152" i="12"/>
  <c r="X153" i="12"/>
  <c r="X154" i="12"/>
  <c r="X155" i="12"/>
  <c r="X156" i="12"/>
  <c r="X157" i="12"/>
  <c r="X158" i="12"/>
  <c r="X159" i="12"/>
  <c r="X160" i="12"/>
  <c r="X161" i="12"/>
  <c r="X162" i="12"/>
  <c r="X163" i="12"/>
  <c r="X164" i="12"/>
  <c r="X165" i="12"/>
  <c r="X166" i="12"/>
  <c r="X167" i="12"/>
  <c r="X168" i="12"/>
  <c r="X169" i="12"/>
  <c r="X170" i="12"/>
  <c r="X171" i="12"/>
  <c r="X172" i="12"/>
  <c r="X173" i="12"/>
  <c r="X174" i="12"/>
  <c r="X175" i="12"/>
  <c r="X176" i="12"/>
  <c r="X177" i="12"/>
  <c r="X178" i="12"/>
  <c r="X179" i="12"/>
  <c r="X180" i="12"/>
  <c r="X181" i="12"/>
  <c r="X182" i="12"/>
  <c r="X183" i="12"/>
  <c r="X184" i="12"/>
  <c r="X185" i="12"/>
  <c r="X186" i="12"/>
  <c r="X187" i="12"/>
  <c r="X188" i="12"/>
  <c r="X189" i="12"/>
  <c r="X190" i="12"/>
  <c r="X191" i="12"/>
  <c r="X192" i="12"/>
  <c r="X193" i="12"/>
  <c r="X194" i="12"/>
  <c r="X195" i="12"/>
  <c r="X196" i="12"/>
  <c r="X197" i="12"/>
  <c r="X2" i="12"/>
  <c r="X3" i="16"/>
  <c r="X4" i="16"/>
  <c r="X5" i="16"/>
  <c r="X6" i="16"/>
  <c r="X7" i="16"/>
  <c r="X8" i="16"/>
  <c r="X9" i="16"/>
  <c r="X10" i="16"/>
  <c r="X11" i="16"/>
  <c r="X12" i="16"/>
  <c r="X13" i="16"/>
  <c r="X14" i="16"/>
  <c r="X15" i="16"/>
  <c r="X16" i="16"/>
  <c r="X17" i="16"/>
  <c r="X18" i="16"/>
  <c r="X19" i="16"/>
  <c r="X20" i="16"/>
  <c r="X21" i="16"/>
  <c r="X22" i="16"/>
  <c r="X23" i="16"/>
  <c r="X24" i="16"/>
  <c r="X25" i="16"/>
  <c r="X26" i="16"/>
  <c r="X27" i="16"/>
  <c r="X28" i="16"/>
  <c r="X29" i="16"/>
  <c r="X2" i="16"/>
  <c r="X89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2" i="13"/>
  <c r="X3" i="13"/>
  <c r="X4" i="13"/>
  <c r="X5" i="13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43" i="13"/>
  <c r="X44" i="13"/>
  <c r="X45" i="13"/>
  <c r="X46" i="13"/>
  <c r="X47" i="13"/>
  <c r="X48" i="13"/>
  <c r="X49" i="13"/>
  <c r="X50" i="13"/>
  <c r="X51" i="13"/>
  <c r="X52" i="13"/>
  <c r="X53" i="13"/>
  <c r="X54" i="13"/>
  <c r="X55" i="13"/>
  <c r="X56" i="13"/>
  <c r="X57" i="13"/>
  <c r="X58" i="13"/>
  <c r="X59" i="13"/>
  <c r="X60" i="13"/>
  <c r="X61" i="13"/>
  <c r="X62" i="13"/>
  <c r="X63" i="13"/>
  <c r="X64" i="13"/>
  <c r="X65" i="13"/>
  <c r="X66" i="13"/>
  <c r="X67" i="13"/>
  <c r="X68" i="13"/>
  <c r="X69" i="13"/>
  <c r="X70" i="13"/>
  <c r="X71" i="13"/>
  <c r="X72" i="13"/>
  <c r="X73" i="13"/>
  <c r="X74" i="13"/>
  <c r="X75" i="13"/>
  <c r="X76" i="13"/>
  <c r="X77" i="13"/>
  <c r="X78" i="13"/>
  <c r="X79" i="13"/>
  <c r="X80" i="13"/>
  <c r="X81" i="13"/>
  <c r="X82" i="13"/>
  <c r="X83" i="13"/>
  <c r="X3" i="7"/>
  <c r="X4" i="7"/>
  <c r="X5" i="7"/>
  <c r="X6" i="7"/>
  <c r="X7" i="7"/>
  <c r="X8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X2" i="7"/>
  <c r="X53" i="5"/>
  <c r="X2" i="5"/>
  <c r="X3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2" i="4"/>
  <c r="D91" i="10" l="1"/>
  <c r="V2" i="8"/>
  <c r="D12" i="19" l="1"/>
  <c r="C12" i="19"/>
  <c r="M77" i="10" l="1"/>
  <c r="H77" i="10"/>
  <c r="H78" i="10"/>
  <c r="J78" i="10"/>
  <c r="M78" i="10" s="1"/>
  <c r="J77" i="10"/>
  <c r="G77" i="10"/>
  <c r="G78" i="10"/>
  <c r="M76" i="10"/>
  <c r="H76" i="10"/>
  <c r="G76" i="10"/>
  <c r="J76" i="10"/>
  <c r="Z21" i="18"/>
  <c r="Z22" i="18"/>
  <c r="Z23" i="18"/>
  <c r="Z24" i="18"/>
  <c r="Z25" i="18"/>
  <c r="F25" i="18" s="1"/>
  <c r="Z26" i="18"/>
  <c r="F26" i="18" s="1"/>
  <c r="Z27" i="18"/>
  <c r="F27" i="18"/>
  <c r="F24" i="18"/>
  <c r="E88" i="10"/>
  <c r="V2" i="4" l="1"/>
  <c r="V3" i="18" l="1"/>
  <c r="V12" i="18"/>
  <c r="V13" i="18"/>
  <c r="V14" i="18"/>
  <c r="V15" i="18"/>
  <c r="AG22" i="18"/>
  <c r="K22" i="18" s="1"/>
  <c r="AH22" i="18"/>
  <c r="AI22" i="18"/>
  <c r="AG23" i="18"/>
  <c r="K23" i="18" s="1"/>
  <c r="AH23" i="18"/>
  <c r="AI23" i="18"/>
  <c r="AG24" i="18"/>
  <c r="K24" i="18" s="1"/>
  <c r="AH24" i="18"/>
  <c r="AI24" i="18"/>
  <c r="AG25" i="18"/>
  <c r="K25" i="18" s="1"/>
  <c r="AH25" i="18"/>
  <c r="AI25" i="18"/>
  <c r="AG26" i="18"/>
  <c r="K26" i="18" s="1"/>
  <c r="AH26" i="18"/>
  <c r="AI26" i="18"/>
  <c r="AG27" i="18"/>
  <c r="K27" i="18" s="1"/>
  <c r="AH27" i="18"/>
  <c r="AI27" i="18"/>
  <c r="AD22" i="18"/>
  <c r="AD23" i="18"/>
  <c r="AD24" i="18"/>
  <c r="AD25" i="18"/>
  <c r="AD26" i="18"/>
  <c r="AD27" i="18"/>
  <c r="G27" i="18"/>
  <c r="G22" i="18"/>
  <c r="V22" i="18"/>
  <c r="G23" i="18"/>
  <c r="L23" i="18"/>
  <c r="G24" i="18"/>
  <c r="N24" i="18" s="1"/>
  <c r="V24" i="18"/>
  <c r="G25" i="18"/>
  <c r="G26" i="18"/>
  <c r="V26" i="18"/>
  <c r="AD16" i="18"/>
  <c r="AD17" i="18"/>
  <c r="AD18" i="18"/>
  <c r="AD19" i="18"/>
  <c r="AD20" i="18"/>
  <c r="AD21" i="18"/>
  <c r="F12" i="18"/>
  <c r="L12" i="18"/>
  <c r="F13" i="18"/>
  <c r="L13" i="18"/>
  <c r="F14" i="18"/>
  <c r="L14" i="18"/>
  <c r="F15" i="18"/>
  <c r="L15" i="18"/>
  <c r="G16" i="18"/>
  <c r="G17" i="18"/>
  <c r="N17" i="18" s="1"/>
  <c r="G18" i="18"/>
  <c r="G19" i="18"/>
  <c r="G20" i="18"/>
  <c r="G21" i="18"/>
  <c r="AG12" i="18"/>
  <c r="K12" i="18" s="1"/>
  <c r="AH12" i="18"/>
  <c r="AG13" i="18"/>
  <c r="K13" i="18" s="1"/>
  <c r="AH13" i="18"/>
  <c r="AG14" i="18"/>
  <c r="K14" i="18" s="1"/>
  <c r="AH14" i="18"/>
  <c r="AG15" i="18"/>
  <c r="K15" i="18" s="1"/>
  <c r="AH15" i="18"/>
  <c r="AG16" i="18"/>
  <c r="K16" i="18" s="1"/>
  <c r="AH16" i="18"/>
  <c r="AI16" i="18"/>
  <c r="AG17" i="18"/>
  <c r="K17" i="18" s="1"/>
  <c r="AH17" i="18"/>
  <c r="AI17" i="18"/>
  <c r="AG18" i="18"/>
  <c r="K18" i="18" s="1"/>
  <c r="AH18" i="18"/>
  <c r="AI18" i="18"/>
  <c r="AG19" i="18"/>
  <c r="K19" i="18" s="1"/>
  <c r="AH19" i="18"/>
  <c r="AI19" i="18"/>
  <c r="AG20" i="18"/>
  <c r="K20" i="18" s="1"/>
  <c r="AH20" i="18"/>
  <c r="AI20" i="18"/>
  <c r="AG21" i="18"/>
  <c r="K21" i="18" s="1"/>
  <c r="AH21" i="18"/>
  <c r="AI21" i="18"/>
  <c r="AD12" i="18"/>
  <c r="AD13" i="18"/>
  <c r="AD14" i="18"/>
  <c r="AD15" i="18"/>
  <c r="Y13" i="18"/>
  <c r="Y14" i="18"/>
  <c r="Y15" i="18"/>
  <c r="Y12" i="18"/>
  <c r="Z18" i="18"/>
  <c r="L18" i="18" s="1"/>
  <c r="Z19" i="18"/>
  <c r="V19" i="18" s="1"/>
  <c r="Z20" i="18"/>
  <c r="V20" i="18" s="1"/>
  <c r="Z17" i="18"/>
  <c r="L17" i="18" s="1"/>
  <c r="Z16" i="18"/>
  <c r="F16" i="18" s="1"/>
  <c r="AH11" i="18"/>
  <c r="AG11" i="18"/>
  <c r="AD11" i="18"/>
  <c r="Y11" i="18"/>
  <c r="F11" i="18"/>
  <c r="E11" i="18"/>
  <c r="L11" i="18" s="1"/>
  <c r="AH10" i="18"/>
  <c r="AG10" i="18"/>
  <c r="AD10" i="18"/>
  <c r="Y10" i="18"/>
  <c r="F10" i="18"/>
  <c r="E10" i="18"/>
  <c r="V10" i="18" s="1"/>
  <c r="AH9" i="18"/>
  <c r="AG9" i="18"/>
  <c r="AD9" i="18"/>
  <c r="Y9" i="18"/>
  <c r="F9" i="18"/>
  <c r="E9" i="18"/>
  <c r="AH8" i="18"/>
  <c r="AG8" i="18"/>
  <c r="AD8" i="18"/>
  <c r="Y8" i="18"/>
  <c r="F8" i="18"/>
  <c r="E8" i="18"/>
  <c r="L8" i="18" s="1"/>
  <c r="AH7" i="18"/>
  <c r="AG7" i="18"/>
  <c r="AD7" i="18"/>
  <c r="Y7" i="18"/>
  <c r="F7" i="18"/>
  <c r="E7" i="18"/>
  <c r="AH6" i="18"/>
  <c r="AG6" i="18"/>
  <c r="AD6" i="18"/>
  <c r="Y6" i="18"/>
  <c r="F6" i="18"/>
  <c r="E6" i="18"/>
  <c r="AL5" i="18"/>
  <c r="AL6" i="18" s="1"/>
  <c r="AH5" i="18"/>
  <c r="AG5" i="18"/>
  <c r="AD5" i="18"/>
  <c r="Y5" i="18"/>
  <c r="F5" i="18"/>
  <c r="E5" i="18"/>
  <c r="AH4" i="18"/>
  <c r="AG4" i="18"/>
  <c r="AD4" i="18"/>
  <c r="Y4" i="18"/>
  <c r="F4" i="18"/>
  <c r="E4" i="18"/>
  <c r="AH3" i="18"/>
  <c r="AG3" i="18"/>
  <c r="K3" i="18" s="1"/>
  <c r="AD3" i="18"/>
  <c r="Y3" i="18"/>
  <c r="L3" i="18"/>
  <c r="F3" i="18"/>
  <c r="AG2" i="18"/>
  <c r="AD2" i="18"/>
  <c r="Y2" i="18"/>
  <c r="F2" i="18"/>
  <c r="E2" i="18"/>
  <c r="V2" i="18" s="1"/>
  <c r="O25" i="18" l="1"/>
  <c r="L16" i="18"/>
  <c r="S18" i="18"/>
  <c r="H25" i="18"/>
  <c r="L24" i="18"/>
  <c r="Q21" i="18"/>
  <c r="O27" i="18"/>
  <c r="L26" i="18"/>
  <c r="P23" i="18"/>
  <c r="R21" i="18"/>
  <c r="F23" i="18"/>
  <c r="K4" i="18"/>
  <c r="G13" i="18"/>
  <c r="N13" i="18" s="1"/>
  <c r="F17" i="18"/>
  <c r="L2" i="18"/>
  <c r="AI7" i="18"/>
  <c r="K11" i="18"/>
  <c r="Q16" i="18"/>
  <c r="AI13" i="18"/>
  <c r="H23" i="18"/>
  <c r="L19" i="18"/>
  <c r="H19" i="18"/>
  <c r="K6" i="18"/>
  <c r="J18" i="18"/>
  <c r="N27" i="18"/>
  <c r="Q27" i="18"/>
  <c r="V23" i="18"/>
  <c r="V8" i="18"/>
  <c r="U17" i="18"/>
  <c r="K2" i="18"/>
  <c r="D7" i="18"/>
  <c r="D8" i="18"/>
  <c r="W21" i="18"/>
  <c r="V17" i="18"/>
  <c r="J17" i="18"/>
  <c r="F20" i="18"/>
  <c r="S24" i="18"/>
  <c r="L22" i="18"/>
  <c r="W22" i="18"/>
  <c r="V16" i="18"/>
  <c r="W25" i="18"/>
  <c r="G14" i="18"/>
  <c r="H14" i="18" s="1"/>
  <c r="Q18" i="18"/>
  <c r="O17" i="18"/>
  <c r="S17" i="18"/>
  <c r="H20" i="18"/>
  <c r="P20" i="18"/>
  <c r="I20" i="18"/>
  <c r="W20" i="18"/>
  <c r="Q20" i="18"/>
  <c r="V21" i="18"/>
  <c r="L21" i="18"/>
  <c r="F21" i="18"/>
  <c r="P21" i="18"/>
  <c r="G3" i="18"/>
  <c r="M3" i="18" s="1"/>
  <c r="S13" i="18"/>
  <c r="P13" i="18"/>
  <c r="H13" i="18"/>
  <c r="Q13" i="18"/>
  <c r="I13" i="18"/>
  <c r="R13" i="18"/>
  <c r="O13" i="18"/>
  <c r="J13" i="18"/>
  <c r="J21" i="18"/>
  <c r="H26" i="18"/>
  <c r="W26" i="18"/>
  <c r="D4" i="18"/>
  <c r="AI4" i="18"/>
  <c r="S21" i="18"/>
  <c r="I21" i="18"/>
  <c r="W17" i="18"/>
  <c r="W18" i="18"/>
  <c r="N21" i="18"/>
  <c r="W19" i="18"/>
  <c r="O21" i="18"/>
  <c r="F19" i="18"/>
  <c r="V6" i="18"/>
  <c r="L6" i="18"/>
  <c r="D9" i="18"/>
  <c r="AI9" i="18"/>
  <c r="AI12" i="18"/>
  <c r="G12" i="18"/>
  <c r="H27" i="18"/>
  <c r="W27" i="18"/>
  <c r="R27" i="18"/>
  <c r="W23" i="18"/>
  <c r="W24" i="18"/>
  <c r="V9" i="18"/>
  <c r="L9" i="18"/>
  <c r="K9" i="18"/>
  <c r="G9" i="18"/>
  <c r="N9" i="18" s="1"/>
  <c r="AI11" i="18"/>
  <c r="D11" i="18"/>
  <c r="K5" i="18"/>
  <c r="V5" i="18"/>
  <c r="L5" i="18"/>
  <c r="L25" i="18"/>
  <c r="V25" i="18"/>
  <c r="L7" i="18"/>
  <c r="V7" i="18"/>
  <c r="K7" i="18"/>
  <c r="V18" i="18"/>
  <c r="F18" i="18"/>
  <c r="I18" i="18"/>
  <c r="L4" i="18"/>
  <c r="V4" i="18"/>
  <c r="G4" i="18"/>
  <c r="U4" i="18" s="1"/>
  <c r="W16" i="18"/>
  <c r="M17" i="18"/>
  <c r="J27" i="18"/>
  <c r="G7" i="18"/>
  <c r="I7" i="18" s="1"/>
  <c r="G11" i="18"/>
  <c r="U11" i="18" s="1"/>
  <c r="V11" i="18"/>
  <c r="AI15" i="18"/>
  <c r="L20" i="18"/>
  <c r="J16" i="18"/>
  <c r="G15" i="18"/>
  <c r="H22" i="18"/>
  <c r="O26" i="18"/>
  <c r="I19" i="18"/>
  <c r="V27" i="18"/>
  <c r="AI10" i="18"/>
  <c r="AI14" i="18"/>
  <c r="H17" i="18"/>
  <c r="P25" i="18"/>
  <c r="O22" i="18"/>
  <c r="S22" i="18"/>
  <c r="S26" i="18"/>
  <c r="J25" i="18"/>
  <c r="J23" i="18"/>
  <c r="U27" i="18"/>
  <c r="M27" i="18"/>
  <c r="L27" i="18"/>
  <c r="S27" i="18"/>
  <c r="I27" i="18"/>
  <c r="P27" i="18"/>
  <c r="O24" i="18"/>
  <c r="S23" i="18"/>
  <c r="N26" i="18"/>
  <c r="N22" i="18"/>
  <c r="F22" i="18"/>
  <c r="U26" i="18"/>
  <c r="M26" i="18"/>
  <c r="Q25" i="18"/>
  <c r="I25" i="18"/>
  <c r="U24" i="18"/>
  <c r="M24" i="18"/>
  <c r="Q23" i="18"/>
  <c r="I23" i="18"/>
  <c r="U22" i="18"/>
  <c r="M22" i="18"/>
  <c r="O23" i="18"/>
  <c r="R26" i="18"/>
  <c r="J26" i="18"/>
  <c r="N25" i="18"/>
  <c r="R24" i="18"/>
  <c r="J24" i="18"/>
  <c r="N23" i="18"/>
  <c r="R22" i="18"/>
  <c r="J22" i="18"/>
  <c r="Q26" i="18"/>
  <c r="I26" i="18"/>
  <c r="U25" i="18"/>
  <c r="M25" i="18"/>
  <c r="Q24" i="18"/>
  <c r="I24" i="18"/>
  <c r="U23" i="18"/>
  <c r="M23" i="18"/>
  <c r="Q22" i="18"/>
  <c r="I22" i="18"/>
  <c r="P26" i="18"/>
  <c r="P24" i="18"/>
  <c r="H24" i="18"/>
  <c r="P22" i="18"/>
  <c r="S25" i="18"/>
  <c r="R25" i="18"/>
  <c r="R23" i="18"/>
  <c r="J20" i="18"/>
  <c r="H21" i="18"/>
  <c r="N20" i="18"/>
  <c r="U20" i="18"/>
  <c r="M20" i="18"/>
  <c r="O20" i="18"/>
  <c r="S20" i="18"/>
  <c r="R20" i="18"/>
  <c r="P19" i="18"/>
  <c r="O19" i="18"/>
  <c r="R18" i="18"/>
  <c r="O18" i="18"/>
  <c r="R17" i="18"/>
  <c r="I16" i="18"/>
  <c r="H16" i="18"/>
  <c r="P16" i="18"/>
  <c r="O16" i="18"/>
  <c r="N14" i="18"/>
  <c r="U19" i="18"/>
  <c r="M19" i="18"/>
  <c r="P18" i="18"/>
  <c r="H18" i="18"/>
  <c r="N16" i="18"/>
  <c r="M14" i="18"/>
  <c r="M16" i="18"/>
  <c r="U21" i="18"/>
  <c r="M21" i="18"/>
  <c r="S19" i="18"/>
  <c r="N18" i="18"/>
  <c r="Q17" i="18"/>
  <c r="I17" i="18"/>
  <c r="U13" i="18"/>
  <c r="M13" i="18"/>
  <c r="N19" i="18"/>
  <c r="R19" i="18"/>
  <c r="J19" i="18"/>
  <c r="U18" i="18"/>
  <c r="M18" i="18"/>
  <c r="P17" i="18"/>
  <c r="S16" i="18"/>
  <c r="U16" i="18"/>
  <c r="Q19" i="18"/>
  <c r="R16" i="18"/>
  <c r="AI8" i="18"/>
  <c r="D5" i="18"/>
  <c r="AI5" i="18"/>
  <c r="K8" i="18"/>
  <c r="G10" i="18"/>
  <c r="U10" i="18" s="1"/>
  <c r="D2" i="18"/>
  <c r="G5" i="18"/>
  <c r="D6" i="18"/>
  <c r="G8" i="18"/>
  <c r="K10" i="18"/>
  <c r="AI2" i="18"/>
  <c r="AI6" i="18"/>
  <c r="J7" i="18"/>
  <c r="D10" i="18"/>
  <c r="L10" i="18"/>
  <c r="G6" i="18"/>
  <c r="D3" i="18"/>
  <c r="AI3" i="18"/>
  <c r="G2" i="18"/>
  <c r="U2" i="18" s="1"/>
  <c r="AH36" i="17"/>
  <c r="AG36" i="17"/>
  <c r="AE36" i="17"/>
  <c r="F36" i="17"/>
  <c r="E36" i="17"/>
  <c r="G36" i="17" s="1"/>
  <c r="S36" i="17" s="1"/>
  <c r="D36" i="17"/>
  <c r="AH35" i="17"/>
  <c r="AG35" i="17"/>
  <c r="AE35" i="17"/>
  <c r="F35" i="17"/>
  <c r="E35" i="17"/>
  <c r="D35" i="17"/>
  <c r="AH34" i="17"/>
  <c r="AG34" i="17"/>
  <c r="AE34" i="17"/>
  <c r="F34" i="17"/>
  <c r="E34" i="17"/>
  <c r="D34" i="17"/>
  <c r="AH33" i="17"/>
  <c r="AG33" i="17"/>
  <c r="AE33" i="17"/>
  <c r="F33" i="17"/>
  <c r="E33" i="17"/>
  <c r="V33" i="17" s="1"/>
  <c r="D33" i="17"/>
  <c r="AH32" i="17"/>
  <c r="AG32" i="17"/>
  <c r="AE32" i="17"/>
  <c r="F32" i="17"/>
  <c r="E32" i="17"/>
  <c r="D32" i="17"/>
  <c r="AH31" i="17"/>
  <c r="AG31" i="17"/>
  <c r="AE31" i="17"/>
  <c r="F31" i="17"/>
  <c r="E31" i="17"/>
  <c r="D31" i="17"/>
  <c r="AH30" i="17"/>
  <c r="AG30" i="17"/>
  <c r="AE30" i="17"/>
  <c r="AD30" i="17"/>
  <c r="F30" i="17"/>
  <c r="E30" i="17"/>
  <c r="L30" i="17" s="1"/>
  <c r="D30" i="17"/>
  <c r="AH29" i="17"/>
  <c r="AG29" i="17"/>
  <c r="AE29" i="17"/>
  <c r="F29" i="17"/>
  <c r="E29" i="17"/>
  <c r="V29" i="17" s="1"/>
  <c r="D29" i="17"/>
  <c r="AH28" i="17"/>
  <c r="AG28" i="17"/>
  <c r="AE28" i="17"/>
  <c r="F28" i="17"/>
  <c r="E28" i="17"/>
  <c r="G28" i="17" s="1"/>
  <c r="D28" i="17"/>
  <c r="AH27" i="17"/>
  <c r="AG27" i="17"/>
  <c r="AE27" i="17"/>
  <c r="F27" i="17"/>
  <c r="E27" i="17"/>
  <c r="L27" i="17" s="1"/>
  <c r="D27" i="17"/>
  <c r="AH26" i="17"/>
  <c r="AG26" i="17"/>
  <c r="AE26" i="17"/>
  <c r="F26" i="17"/>
  <c r="E26" i="17"/>
  <c r="D26" i="17"/>
  <c r="AH25" i="17"/>
  <c r="AG25" i="17"/>
  <c r="AE25" i="17"/>
  <c r="AD25" i="17"/>
  <c r="F25" i="17"/>
  <c r="E25" i="17"/>
  <c r="L25" i="17" s="1"/>
  <c r="D25" i="17"/>
  <c r="AH24" i="17"/>
  <c r="AG24" i="17"/>
  <c r="AE24" i="17"/>
  <c r="F24" i="17"/>
  <c r="E24" i="17"/>
  <c r="L24" i="17" s="1"/>
  <c r="D24" i="17"/>
  <c r="AH23" i="17"/>
  <c r="AG23" i="17"/>
  <c r="AE23" i="17"/>
  <c r="F23" i="17"/>
  <c r="E23" i="17"/>
  <c r="D23" i="17"/>
  <c r="AH22" i="17"/>
  <c r="AG22" i="17"/>
  <c r="AE22" i="17"/>
  <c r="F22" i="17"/>
  <c r="E22" i="17"/>
  <c r="L22" i="17" s="1"/>
  <c r="D22" i="17"/>
  <c r="AH21" i="17"/>
  <c r="AG21" i="17"/>
  <c r="AE21" i="17"/>
  <c r="F21" i="17"/>
  <c r="E21" i="17"/>
  <c r="V21" i="17" s="1"/>
  <c r="D21" i="17"/>
  <c r="AH20" i="17"/>
  <c r="AG20" i="17"/>
  <c r="AE20" i="17"/>
  <c r="F20" i="17"/>
  <c r="E20" i="17"/>
  <c r="L20" i="17" s="1"/>
  <c r="D20" i="17"/>
  <c r="AH19" i="17"/>
  <c r="AG19" i="17"/>
  <c r="AE19" i="17"/>
  <c r="F19" i="17"/>
  <c r="E19" i="17"/>
  <c r="L19" i="17" s="1"/>
  <c r="D19" i="17"/>
  <c r="AH18" i="17"/>
  <c r="AG18" i="17"/>
  <c r="AE18" i="17"/>
  <c r="F18" i="17"/>
  <c r="E18" i="17"/>
  <c r="D18" i="17"/>
  <c r="AH17" i="17"/>
  <c r="AG17" i="17"/>
  <c r="AE17" i="17"/>
  <c r="F17" i="17"/>
  <c r="E17" i="17"/>
  <c r="V17" i="17" s="1"/>
  <c r="D17" i="17"/>
  <c r="AH16" i="17"/>
  <c r="AG16" i="17"/>
  <c r="AE16" i="17"/>
  <c r="F16" i="17"/>
  <c r="E16" i="17"/>
  <c r="G16" i="17" s="1"/>
  <c r="D16" i="17"/>
  <c r="AH15" i="17"/>
  <c r="AG15" i="17"/>
  <c r="AE15" i="17"/>
  <c r="F15" i="17"/>
  <c r="E15" i="17"/>
  <c r="V15" i="17" s="1"/>
  <c r="D15" i="17"/>
  <c r="AH14" i="17"/>
  <c r="AG14" i="17"/>
  <c r="AE14" i="17"/>
  <c r="F14" i="17"/>
  <c r="E14" i="17"/>
  <c r="D14" i="17"/>
  <c r="AH13" i="17"/>
  <c r="AG13" i="17"/>
  <c r="AE13" i="17"/>
  <c r="F13" i="17"/>
  <c r="E13" i="17"/>
  <c r="V13" i="17" s="1"/>
  <c r="D13" i="17"/>
  <c r="AH12" i="17"/>
  <c r="AG12" i="17"/>
  <c r="AE12" i="17"/>
  <c r="F12" i="17"/>
  <c r="E12" i="17"/>
  <c r="G12" i="17" s="1"/>
  <c r="D12" i="17"/>
  <c r="AH11" i="17"/>
  <c r="AG11" i="17"/>
  <c r="AE11" i="17"/>
  <c r="F11" i="17"/>
  <c r="E11" i="17"/>
  <c r="G11" i="17" s="1"/>
  <c r="D11" i="17"/>
  <c r="AH10" i="17"/>
  <c r="AG10" i="17"/>
  <c r="AE10" i="17"/>
  <c r="F10" i="17"/>
  <c r="E10" i="17"/>
  <c r="D10" i="17"/>
  <c r="AH9" i="17"/>
  <c r="AG9" i="17"/>
  <c r="AE9" i="17"/>
  <c r="F9" i="17"/>
  <c r="E9" i="17"/>
  <c r="G9" i="17" s="1"/>
  <c r="D9" i="17"/>
  <c r="AH8" i="17"/>
  <c r="AG8" i="17"/>
  <c r="AE8" i="17"/>
  <c r="F8" i="17"/>
  <c r="E8" i="17"/>
  <c r="G8" i="17" s="1"/>
  <c r="R8" i="17" s="1"/>
  <c r="D8" i="17"/>
  <c r="AH7" i="17"/>
  <c r="AG7" i="17"/>
  <c r="AE7" i="17"/>
  <c r="Y7" i="17"/>
  <c r="D7" i="17" s="1"/>
  <c r="F7" i="17"/>
  <c r="E7" i="17"/>
  <c r="V7" i="17" s="1"/>
  <c r="AH6" i="17"/>
  <c r="AG6" i="17"/>
  <c r="AE6" i="17"/>
  <c r="Y6" i="17"/>
  <c r="D6" i="17" s="1"/>
  <c r="F6" i="17"/>
  <c r="E6" i="17"/>
  <c r="V6" i="17" s="1"/>
  <c r="AL5" i="17"/>
  <c r="AL6" i="17" s="1"/>
  <c r="AH5" i="17"/>
  <c r="AG5" i="17"/>
  <c r="AE5" i="17"/>
  <c r="Y5" i="17"/>
  <c r="F5" i="17"/>
  <c r="E5" i="17"/>
  <c r="V5" i="17" s="1"/>
  <c r="AH4" i="17"/>
  <c r="AG4" i="17"/>
  <c r="AE4" i="17"/>
  <c r="Y4" i="17"/>
  <c r="F4" i="17"/>
  <c r="E4" i="17"/>
  <c r="AH3" i="17"/>
  <c r="AG3" i="17"/>
  <c r="AE3" i="17"/>
  <c r="Y3" i="17"/>
  <c r="D3" i="17" s="1"/>
  <c r="F3" i="17"/>
  <c r="E3" i="17"/>
  <c r="L3" i="17" s="1"/>
  <c r="AH2" i="17"/>
  <c r="AG2" i="17"/>
  <c r="AE2" i="17"/>
  <c r="Y2" i="17"/>
  <c r="F2" i="17"/>
  <c r="E2" i="17"/>
  <c r="H11" i="18" l="1"/>
  <c r="N11" i="18"/>
  <c r="O14" i="18"/>
  <c r="P11" i="18"/>
  <c r="AD2" i="17"/>
  <c r="G13" i="17"/>
  <c r="Q13" i="17" s="1"/>
  <c r="U14" i="18"/>
  <c r="V20" i="17"/>
  <c r="I9" i="18"/>
  <c r="R11" i="18"/>
  <c r="G4" i="17"/>
  <c r="S4" i="17" s="1"/>
  <c r="AD6" i="17"/>
  <c r="AD23" i="17"/>
  <c r="AD28" i="17"/>
  <c r="J28" i="17" s="1"/>
  <c r="S11" i="18"/>
  <c r="R14" i="18"/>
  <c r="AD4" i="17"/>
  <c r="H9" i="18"/>
  <c r="U9" i="18"/>
  <c r="I10" i="18"/>
  <c r="Q10" i="18"/>
  <c r="R7" i="18"/>
  <c r="W11" i="18"/>
  <c r="W9" i="18"/>
  <c r="N3" i="18"/>
  <c r="J14" i="18"/>
  <c r="AD31" i="17"/>
  <c r="H7" i="18"/>
  <c r="I11" i="18"/>
  <c r="M11" i="18"/>
  <c r="I14" i="18"/>
  <c r="K26" i="17"/>
  <c r="Q11" i="18"/>
  <c r="H3" i="18"/>
  <c r="M7" i="18"/>
  <c r="M9" i="18"/>
  <c r="R10" i="18"/>
  <c r="J11" i="18"/>
  <c r="I3" i="18"/>
  <c r="J9" i="18"/>
  <c r="P9" i="18"/>
  <c r="W8" i="18"/>
  <c r="O11" i="18"/>
  <c r="U3" i="18"/>
  <c r="AD8" i="17"/>
  <c r="J8" i="17" s="1"/>
  <c r="Q36" i="17"/>
  <c r="W4" i="18"/>
  <c r="K12" i="17"/>
  <c r="O9" i="18"/>
  <c r="P4" i="18"/>
  <c r="W7" i="18"/>
  <c r="J3" i="18"/>
  <c r="U9" i="17"/>
  <c r="AD11" i="17"/>
  <c r="J11" i="17" s="1"/>
  <c r="AD17" i="17"/>
  <c r="AD35" i="17"/>
  <c r="AD36" i="17"/>
  <c r="J36" i="17" s="1"/>
  <c r="O3" i="18"/>
  <c r="S7" i="18"/>
  <c r="J4" i="18"/>
  <c r="H4" i="18"/>
  <c r="M10" i="18"/>
  <c r="R3" i="18"/>
  <c r="P14" i="18"/>
  <c r="M4" i="18"/>
  <c r="AD5" i="17"/>
  <c r="Q7" i="18"/>
  <c r="AD29" i="17"/>
  <c r="R4" i="18"/>
  <c r="U7" i="18"/>
  <c r="L16" i="17"/>
  <c r="V22" i="17"/>
  <c r="K33" i="17"/>
  <c r="O7" i="18"/>
  <c r="N10" i="18"/>
  <c r="W3" i="18"/>
  <c r="S3" i="18"/>
  <c r="AD9" i="17"/>
  <c r="AD19" i="17"/>
  <c r="AD13" i="17"/>
  <c r="AD20" i="17"/>
  <c r="AD18" i="17"/>
  <c r="P7" i="18"/>
  <c r="N7" i="18"/>
  <c r="W13" i="18"/>
  <c r="W15" i="18"/>
  <c r="N15" i="18"/>
  <c r="W12" i="18"/>
  <c r="O15" i="18"/>
  <c r="H15" i="18"/>
  <c r="P15" i="18"/>
  <c r="Q15" i="18"/>
  <c r="W14" i="18"/>
  <c r="R15" i="18"/>
  <c r="I15" i="18"/>
  <c r="J15" i="18"/>
  <c r="S15" i="18"/>
  <c r="U15" i="18"/>
  <c r="M15" i="18"/>
  <c r="S9" i="18"/>
  <c r="AD3" i="17"/>
  <c r="L8" i="17"/>
  <c r="J9" i="17"/>
  <c r="AD10" i="17"/>
  <c r="AD15" i="17"/>
  <c r="AD16" i="17"/>
  <c r="J16" i="17" s="1"/>
  <c r="G20" i="17"/>
  <c r="R20" i="17" s="1"/>
  <c r="AD22" i="17"/>
  <c r="AD27" i="17"/>
  <c r="L33" i="17"/>
  <c r="AD34" i="17"/>
  <c r="Q4" i="18"/>
  <c r="O4" i="18"/>
  <c r="O10" i="18"/>
  <c r="W10" i="18"/>
  <c r="Q9" i="18"/>
  <c r="R9" i="18"/>
  <c r="AD7" i="17"/>
  <c r="AD26" i="17"/>
  <c r="AD12" i="17"/>
  <c r="J12" i="17" s="1"/>
  <c r="AD24" i="17"/>
  <c r="S4" i="18"/>
  <c r="Q14" i="18"/>
  <c r="V8" i="17"/>
  <c r="R9" i="17"/>
  <c r="AD14" i="17"/>
  <c r="AD21" i="17"/>
  <c r="AD32" i="17"/>
  <c r="AD33" i="17"/>
  <c r="I4" i="18"/>
  <c r="H10" i="18"/>
  <c r="N4" i="18"/>
  <c r="S14" i="18"/>
  <c r="W2" i="18"/>
  <c r="H12" i="18"/>
  <c r="M12" i="18"/>
  <c r="U12" i="18"/>
  <c r="O12" i="18"/>
  <c r="P12" i="18"/>
  <c r="I12" i="18"/>
  <c r="Q12" i="18"/>
  <c r="J12" i="18"/>
  <c r="N12" i="18"/>
  <c r="R12" i="18"/>
  <c r="S12" i="18"/>
  <c r="J10" i="18"/>
  <c r="S10" i="18"/>
  <c r="P10" i="18"/>
  <c r="P2" i="18"/>
  <c r="O2" i="18"/>
  <c r="N2" i="18"/>
  <c r="M2" i="18"/>
  <c r="S2" i="18"/>
  <c r="R2" i="18"/>
  <c r="J2" i="18"/>
  <c r="Q2" i="18"/>
  <c r="S8" i="18"/>
  <c r="R8" i="18"/>
  <c r="J8" i="18"/>
  <c r="Q8" i="18"/>
  <c r="I8" i="18"/>
  <c r="P8" i="18"/>
  <c r="H8" i="18"/>
  <c r="O8" i="18"/>
  <c r="N8" i="18"/>
  <c r="U8" i="18"/>
  <c r="M8" i="18"/>
  <c r="P6" i="18"/>
  <c r="H6" i="18"/>
  <c r="N6" i="18"/>
  <c r="O6" i="18"/>
  <c r="U6" i="18"/>
  <c r="M6" i="18"/>
  <c r="S6" i="18"/>
  <c r="R6" i="18"/>
  <c r="J6" i="18"/>
  <c r="Q6" i="18"/>
  <c r="I6" i="18"/>
  <c r="S5" i="18"/>
  <c r="Q5" i="18"/>
  <c r="I5" i="18"/>
  <c r="R5" i="18"/>
  <c r="J5" i="18"/>
  <c r="P5" i="18"/>
  <c r="H5" i="18"/>
  <c r="O5" i="18"/>
  <c r="N5" i="18"/>
  <c r="U5" i="18"/>
  <c r="M5" i="18"/>
  <c r="W6" i="18"/>
  <c r="P3" i="18"/>
  <c r="W5" i="18"/>
  <c r="Q3" i="18"/>
  <c r="O12" i="17"/>
  <c r="W12" i="17"/>
  <c r="M9" i="17"/>
  <c r="K11" i="17"/>
  <c r="D5" i="17"/>
  <c r="L11" i="17"/>
  <c r="K14" i="17"/>
  <c r="U4" i="17"/>
  <c r="L28" i="17"/>
  <c r="V11" i="17"/>
  <c r="K18" i="17"/>
  <c r="K28" i="17"/>
  <c r="K9" i="17"/>
  <c r="V28" i="17"/>
  <c r="V30" i="17"/>
  <c r="G33" i="17"/>
  <c r="O28" i="17"/>
  <c r="R28" i="17"/>
  <c r="Q28" i="17"/>
  <c r="N28" i="17"/>
  <c r="P28" i="17"/>
  <c r="I28" i="17"/>
  <c r="S28" i="17"/>
  <c r="O11" i="17"/>
  <c r="S11" i="17"/>
  <c r="R11" i="17"/>
  <c r="P11" i="17"/>
  <c r="N11" i="17"/>
  <c r="Q11" i="17"/>
  <c r="I11" i="17"/>
  <c r="O4" i="17"/>
  <c r="G17" i="17"/>
  <c r="Q17" i="17" s="1"/>
  <c r="G29" i="17"/>
  <c r="N29" i="17" s="1"/>
  <c r="Q8" i="17"/>
  <c r="K5" i="17"/>
  <c r="L5" i="17"/>
  <c r="K8" i="17"/>
  <c r="I9" i="17"/>
  <c r="U12" i="17"/>
  <c r="V14" i="17"/>
  <c r="V18" i="17"/>
  <c r="V25" i="17"/>
  <c r="L36" i="17"/>
  <c r="V3" i="17"/>
  <c r="G21" i="17"/>
  <c r="R21" i="17" s="1"/>
  <c r="K29" i="17"/>
  <c r="S9" i="17"/>
  <c r="H11" i="17"/>
  <c r="M12" i="17"/>
  <c r="L14" i="17"/>
  <c r="L17" i="17"/>
  <c r="K21" i="17"/>
  <c r="K22" i="17"/>
  <c r="U8" i="17"/>
  <c r="G3" i="17"/>
  <c r="H3" i="17" s="1"/>
  <c r="G25" i="17"/>
  <c r="R25" i="17" s="1"/>
  <c r="G7" i="17"/>
  <c r="U7" i="17" s="1"/>
  <c r="G14" i="17"/>
  <c r="S14" i="17" s="1"/>
  <c r="K17" i="17"/>
  <c r="K25" i="17"/>
  <c r="G30" i="17"/>
  <c r="U30" i="17" s="1"/>
  <c r="K36" i="17"/>
  <c r="I12" i="17"/>
  <c r="L6" i="17"/>
  <c r="Q4" i="17"/>
  <c r="K3" i="17"/>
  <c r="G5" i="17"/>
  <c r="I5" i="17" s="1"/>
  <c r="K7" i="17"/>
  <c r="P12" i="17"/>
  <c r="H28" i="17"/>
  <c r="H9" i="17"/>
  <c r="S12" i="17"/>
  <c r="K13" i="17"/>
  <c r="K20" i="17"/>
  <c r="G22" i="17"/>
  <c r="Q22" i="17" s="1"/>
  <c r="L4" i="17"/>
  <c r="K4" i="17"/>
  <c r="V32" i="17"/>
  <c r="K32" i="17"/>
  <c r="L32" i="17"/>
  <c r="G32" i="17"/>
  <c r="W32" i="17" s="1"/>
  <c r="D2" i="17"/>
  <c r="V4" i="17"/>
  <c r="V10" i="17"/>
  <c r="L10" i="17"/>
  <c r="K10" i="17"/>
  <c r="G10" i="17"/>
  <c r="N13" i="17"/>
  <c r="I13" i="17"/>
  <c r="S13" i="17"/>
  <c r="H13" i="17"/>
  <c r="P4" i="17"/>
  <c r="H4" i="17"/>
  <c r="K35" i="17"/>
  <c r="G35" i="17"/>
  <c r="V35" i="17"/>
  <c r="L35" i="17"/>
  <c r="D4" i="17"/>
  <c r="M4" i="17"/>
  <c r="P8" i="17"/>
  <c r="H8" i="17"/>
  <c r="O8" i="17"/>
  <c r="N8" i="17"/>
  <c r="M8" i="17"/>
  <c r="S8" i="17"/>
  <c r="N16" i="17"/>
  <c r="S16" i="17"/>
  <c r="R16" i="17"/>
  <c r="Q16" i="17"/>
  <c r="I16" i="17"/>
  <c r="U16" i="17"/>
  <c r="P16" i="17"/>
  <c r="O16" i="17"/>
  <c r="M16" i="17"/>
  <c r="R36" i="17"/>
  <c r="W36" i="17"/>
  <c r="O36" i="17"/>
  <c r="W28" i="17"/>
  <c r="N36" i="17"/>
  <c r="U36" i="17"/>
  <c r="M36" i="17"/>
  <c r="P36" i="17"/>
  <c r="I36" i="17"/>
  <c r="H36" i="17"/>
  <c r="G31" i="17"/>
  <c r="W31" i="17" s="1"/>
  <c r="L31" i="17"/>
  <c r="K31" i="17"/>
  <c r="V31" i="17"/>
  <c r="G2" i="17"/>
  <c r="V2" i="17"/>
  <c r="L2" i="17"/>
  <c r="K2" i="17"/>
  <c r="N4" i="17"/>
  <c r="G6" i="17"/>
  <c r="I8" i="17"/>
  <c r="H16" i="17"/>
  <c r="L34" i="17"/>
  <c r="G34" i="17"/>
  <c r="W34" i="17" s="1"/>
  <c r="K6" i="17"/>
  <c r="L9" i="17"/>
  <c r="V9" i="17"/>
  <c r="V12" i="17"/>
  <c r="L12" i="17"/>
  <c r="R33" i="17"/>
  <c r="V34" i="17"/>
  <c r="G23" i="17"/>
  <c r="L23" i="17"/>
  <c r="K23" i="17"/>
  <c r="V24" i="17"/>
  <c r="K24" i="17"/>
  <c r="K27" i="17"/>
  <c r="G27" i="17"/>
  <c r="V27" i="17"/>
  <c r="L7" i="17"/>
  <c r="Q9" i="17"/>
  <c r="O9" i="17"/>
  <c r="N9" i="17"/>
  <c r="N12" i="17"/>
  <c r="W11" i="17"/>
  <c r="W9" i="17"/>
  <c r="Q12" i="17"/>
  <c r="V23" i="17"/>
  <c r="L26" i="17"/>
  <c r="G26" i="17"/>
  <c r="K34" i="17"/>
  <c r="W8" i="17"/>
  <c r="P9" i="17"/>
  <c r="H12" i="17"/>
  <c r="R12" i="17"/>
  <c r="G15" i="17"/>
  <c r="L15" i="17"/>
  <c r="K15" i="17"/>
  <c r="V16" i="17"/>
  <c r="K16" i="17"/>
  <c r="K19" i="17"/>
  <c r="G19" i="17"/>
  <c r="V19" i="17"/>
  <c r="G24" i="17"/>
  <c r="V26" i="17"/>
  <c r="L18" i="17"/>
  <c r="G18" i="17"/>
  <c r="M11" i="17"/>
  <c r="U11" i="17"/>
  <c r="L13" i="17"/>
  <c r="L21" i="17"/>
  <c r="M28" i="17"/>
  <c r="U28" i="17"/>
  <c r="L29" i="17"/>
  <c r="K30" i="17"/>
  <c r="V36" i="17"/>
  <c r="F2" i="15"/>
  <c r="F3" i="15"/>
  <c r="F4" i="15"/>
  <c r="F5" i="15"/>
  <c r="F6" i="15"/>
  <c r="F7" i="15"/>
  <c r="F8" i="15"/>
  <c r="F9" i="15"/>
  <c r="F10" i="15"/>
  <c r="F11" i="15"/>
  <c r="F2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2" i="14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2" i="16"/>
  <c r="F198" i="12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2" i="12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2" i="9"/>
  <c r="F88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9" i="8"/>
  <c r="F2" i="8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R13" i="17" l="1"/>
  <c r="J13" i="17"/>
  <c r="J25" i="17"/>
  <c r="P13" i="17"/>
  <c r="O13" i="17"/>
  <c r="M17" i="17"/>
  <c r="M13" i="17"/>
  <c r="U13" i="17"/>
  <c r="Q20" i="17"/>
  <c r="N20" i="17"/>
  <c r="J3" i="17"/>
  <c r="M20" i="17"/>
  <c r="P20" i="17"/>
  <c r="Q33" i="17"/>
  <c r="I22" i="17"/>
  <c r="R4" i="17"/>
  <c r="W33" i="17"/>
  <c r="I4" i="17"/>
  <c r="J4" i="17"/>
  <c r="H21" i="17"/>
  <c r="I33" i="17"/>
  <c r="U5" i="17"/>
  <c r="N33" i="17"/>
  <c r="J5" i="17"/>
  <c r="R5" i="17"/>
  <c r="M30" i="17"/>
  <c r="Q30" i="17"/>
  <c r="H30" i="17"/>
  <c r="W30" i="17"/>
  <c r="R3" i="17"/>
  <c r="P29" i="17"/>
  <c r="J33" i="17"/>
  <c r="P30" i="17"/>
  <c r="O33" i="17"/>
  <c r="M3" i="17"/>
  <c r="O20" i="17"/>
  <c r="S20" i="17"/>
  <c r="U20" i="17"/>
  <c r="M33" i="17"/>
  <c r="U3" i="17"/>
  <c r="H20" i="17"/>
  <c r="J20" i="17"/>
  <c r="N30" i="17"/>
  <c r="H33" i="17"/>
  <c r="I30" i="17"/>
  <c r="S30" i="17"/>
  <c r="O30" i="17"/>
  <c r="U33" i="17"/>
  <c r="P33" i="17"/>
  <c r="O3" i="17"/>
  <c r="S3" i="17"/>
  <c r="S33" i="17"/>
  <c r="I20" i="17"/>
  <c r="M25" i="17"/>
  <c r="H22" i="17"/>
  <c r="M7" i="17"/>
  <c r="W4" i="17"/>
  <c r="S17" i="17"/>
  <c r="W6" i="17"/>
  <c r="U25" i="17"/>
  <c r="P22" i="17"/>
  <c r="N5" i="17"/>
  <c r="W2" i="17"/>
  <c r="U22" i="17"/>
  <c r="P5" i="17"/>
  <c r="O17" i="17"/>
  <c r="U17" i="17"/>
  <c r="U14" i="17"/>
  <c r="Q21" i="17"/>
  <c r="Q5" i="17"/>
  <c r="R17" i="17"/>
  <c r="H17" i="17"/>
  <c r="R22" i="17"/>
  <c r="O22" i="17"/>
  <c r="N22" i="17"/>
  <c r="S25" i="17"/>
  <c r="O25" i="17"/>
  <c r="N25" i="17"/>
  <c r="S21" i="17"/>
  <c r="P21" i="17"/>
  <c r="O21" i="17"/>
  <c r="P25" i="17"/>
  <c r="U21" i="17"/>
  <c r="M14" i="17"/>
  <c r="Q25" i="17"/>
  <c r="M22" i="17"/>
  <c r="I21" i="17"/>
  <c r="Q29" i="17"/>
  <c r="N17" i="17"/>
  <c r="J17" i="17"/>
  <c r="P7" i="17"/>
  <c r="H7" i="17"/>
  <c r="Q7" i="17"/>
  <c r="O7" i="17"/>
  <c r="H14" i="17"/>
  <c r="H29" i="17"/>
  <c r="N7" i="17"/>
  <c r="W5" i="17"/>
  <c r="J14" i="17"/>
  <c r="H25" i="17"/>
  <c r="M21" i="17"/>
  <c r="P14" i="17"/>
  <c r="U29" i="17"/>
  <c r="W7" i="17"/>
  <c r="W29" i="17"/>
  <c r="P17" i="17"/>
  <c r="M5" i="17"/>
  <c r="S5" i="17"/>
  <c r="O5" i="17"/>
  <c r="R14" i="17"/>
  <c r="M29" i="17"/>
  <c r="J22" i="17"/>
  <c r="S22" i="17"/>
  <c r="I7" i="17"/>
  <c r="J7" i="17"/>
  <c r="I17" i="17"/>
  <c r="J30" i="17"/>
  <c r="R30" i="17"/>
  <c r="P3" i="17"/>
  <c r="W3" i="17"/>
  <c r="Q3" i="17"/>
  <c r="I3" i="17"/>
  <c r="I14" i="17"/>
  <c r="Q14" i="17"/>
  <c r="N14" i="17"/>
  <c r="S29" i="17"/>
  <c r="R29" i="17"/>
  <c r="O29" i="17"/>
  <c r="O14" i="17"/>
  <c r="I25" i="17"/>
  <c r="J21" i="17"/>
  <c r="N21" i="17"/>
  <c r="I29" i="17"/>
  <c r="S7" i="17"/>
  <c r="R7" i="17"/>
  <c r="H5" i="17"/>
  <c r="N3" i="17"/>
  <c r="J29" i="17"/>
  <c r="N24" i="17"/>
  <c r="S24" i="17"/>
  <c r="R24" i="17"/>
  <c r="J24" i="17"/>
  <c r="Q24" i="17"/>
  <c r="I24" i="17"/>
  <c r="H24" i="17"/>
  <c r="U24" i="17"/>
  <c r="P24" i="17"/>
  <c r="O24" i="17"/>
  <c r="M24" i="17"/>
  <c r="O31" i="17"/>
  <c r="S31" i="17"/>
  <c r="R31" i="17"/>
  <c r="J31" i="17"/>
  <c r="P31" i="17"/>
  <c r="N31" i="17"/>
  <c r="M31" i="17"/>
  <c r="I31" i="17"/>
  <c r="H31" i="17"/>
  <c r="U31" i="17"/>
  <c r="Q31" i="17"/>
  <c r="O23" i="17"/>
  <c r="S23" i="17"/>
  <c r="R23" i="17"/>
  <c r="J23" i="17"/>
  <c r="I23" i="17"/>
  <c r="H23" i="17"/>
  <c r="U23" i="17"/>
  <c r="Q23" i="17"/>
  <c r="P23" i="17"/>
  <c r="N23" i="17"/>
  <c r="M23" i="17"/>
  <c r="O15" i="17"/>
  <c r="S15" i="17"/>
  <c r="R15" i="17"/>
  <c r="J15" i="17"/>
  <c r="P15" i="17"/>
  <c r="U15" i="17"/>
  <c r="Q15" i="17"/>
  <c r="N15" i="17"/>
  <c r="M15" i="17"/>
  <c r="I15" i="17"/>
  <c r="H15" i="17"/>
  <c r="Q34" i="17"/>
  <c r="I34" i="17"/>
  <c r="P34" i="17"/>
  <c r="H34" i="17"/>
  <c r="O34" i="17"/>
  <c r="N34" i="17"/>
  <c r="M34" i="17"/>
  <c r="J34" i="17"/>
  <c r="U34" i="17"/>
  <c r="S34" i="17"/>
  <c r="R34" i="17"/>
  <c r="Q26" i="17"/>
  <c r="I26" i="17"/>
  <c r="P26" i="17"/>
  <c r="H26" i="17"/>
  <c r="O26" i="17"/>
  <c r="J26" i="17"/>
  <c r="S26" i="17"/>
  <c r="U26" i="17"/>
  <c r="R26" i="17"/>
  <c r="N26" i="17"/>
  <c r="M26" i="17"/>
  <c r="S35" i="17"/>
  <c r="P35" i="17"/>
  <c r="H35" i="17"/>
  <c r="O35" i="17"/>
  <c r="N35" i="17"/>
  <c r="Q35" i="17"/>
  <c r="M35" i="17"/>
  <c r="J35" i="17"/>
  <c r="I35" i="17"/>
  <c r="U35" i="17"/>
  <c r="R35" i="17"/>
  <c r="Q18" i="17"/>
  <c r="I18" i="17"/>
  <c r="P18" i="17"/>
  <c r="H18" i="17"/>
  <c r="O18" i="17"/>
  <c r="U18" i="17"/>
  <c r="S18" i="17"/>
  <c r="R18" i="17"/>
  <c r="N18" i="17"/>
  <c r="M18" i="17"/>
  <c r="J18" i="17"/>
  <c r="S27" i="17"/>
  <c r="W23" i="17"/>
  <c r="P27" i="17"/>
  <c r="H27" i="17"/>
  <c r="W20" i="17"/>
  <c r="W27" i="17"/>
  <c r="O27" i="17"/>
  <c r="N27" i="17"/>
  <c r="W26" i="17"/>
  <c r="J27" i="17"/>
  <c r="I27" i="17"/>
  <c r="W25" i="17"/>
  <c r="W24" i="17"/>
  <c r="U27" i="17"/>
  <c r="W22" i="17"/>
  <c r="W21" i="17"/>
  <c r="R27" i="17"/>
  <c r="Q27" i="17"/>
  <c r="M27" i="17"/>
  <c r="S19" i="17"/>
  <c r="W15" i="17"/>
  <c r="P19" i="17"/>
  <c r="H19" i="17"/>
  <c r="W19" i="17"/>
  <c r="O19" i="17"/>
  <c r="N19" i="17"/>
  <c r="W18" i="17"/>
  <c r="U19" i="17"/>
  <c r="W14" i="17"/>
  <c r="R19" i="17"/>
  <c r="Q19" i="17"/>
  <c r="M19" i="17"/>
  <c r="W13" i="17"/>
  <c r="I19" i="17"/>
  <c r="W17" i="17"/>
  <c r="W16" i="17"/>
  <c r="J19" i="17"/>
  <c r="U6" i="17"/>
  <c r="O6" i="17"/>
  <c r="N6" i="17"/>
  <c r="M6" i="17"/>
  <c r="S6" i="17"/>
  <c r="H6" i="17"/>
  <c r="J6" i="17"/>
  <c r="I6" i="17"/>
  <c r="R6" i="17"/>
  <c r="Q6" i="17"/>
  <c r="P6" i="17"/>
  <c r="P2" i="17"/>
  <c r="H2" i="17"/>
  <c r="O2" i="17"/>
  <c r="N2" i="17"/>
  <c r="Q2" i="17"/>
  <c r="S2" i="17"/>
  <c r="M2" i="17"/>
  <c r="J2" i="17"/>
  <c r="R2" i="17"/>
  <c r="I2" i="17"/>
  <c r="U2" i="17"/>
  <c r="W35" i="17"/>
  <c r="P10" i="17"/>
  <c r="H10" i="17"/>
  <c r="N10" i="17"/>
  <c r="W10" i="17"/>
  <c r="U10" i="17"/>
  <c r="J10" i="17"/>
  <c r="R10" i="17"/>
  <c r="Q10" i="17"/>
  <c r="O10" i="17"/>
  <c r="S10" i="17"/>
  <c r="M10" i="17"/>
  <c r="I10" i="17"/>
  <c r="N32" i="17"/>
  <c r="S32" i="17"/>
  <c r="R32" i="17"/>
  <c r="J32" i="17"/>
  <c r="Q32" i="17"/>
  <c r="I32" i="17"/>
  <c r="O32" i="17"/>
  <c r="M32" i="17"/>
  <c r="H32" i="17"/>
  <c r="U32" i="17"/>
  <c r="P32" i="17"/>
  <c r="AG23" i="16"/>
  <c r="K23" i="16" s="1"/>
  <c r="AH23" i="16"/>
  <c r="AG24" i="16"/>
  <c r="K24" i="16" s="1"/>
  <c r="AH24" i="16"/>
  <c r="AG25" i="16"/>
  <c r="K25" i="16" s="1"/>
  <c r="AH25" i="16"/>
  <c r="AG26" i="16"/>
  <c r="K26" i="16" s="1"/>
  <c r="AH26" i="16"/>
  <c r="AG27" i="16"/>
  <c r="K27" i="16" s="1"/>
  <c r="AH27" i="16"/>
  <c r="AG28" i="16"/>
  <c r="K28" i="16" s="1"/>
  <c r="AH28" i="16"/>
  <c r="AG29" i="16"/>
  <c r="K29" i="16" s="1"/>
  <c r="AH29" i="16"/>
  <c r="AD23" i="16"/>
  <c r="AD24" i="16"/>
  <c r="AD25" i="16"/>
  <c r="AD26" i="16"/>
  <c r="AD27" i="16"/>
  <c r="AD28" i="16"/>
  <c r="AD29" i="16"/>
  <c r="AD9" i="16"/>
  <c r="AD10" i="16"/>
  <c r="AD11" i="16"/>
  <c r="AD12" i="16"/>
  <c r="AD13" i="16"/>
  <c r="AD14" i="16"/>
  <c r="AD15" i="16"/>
  <c r="AD16" i="16"/>
  <c r="AD17" i="16"/>
  <c r="AD18" i="16"/>
  <c r="AD19" i="16"/>
  <c r="AD20" i="16"/>
  <c r="AD21" i="16"/>
  <c r="AD22" i="16"/>
  <c r="Y24" i="16"/>
  <c r="Y25" i="16"/>
  <c r="Y26" i="16"/>
  <c r="Y27" i="16"/>
  <c r="Y28" i="16"/>
  <c r="Y29" i="16"/>
  <c r="Y23" i="16"/>
  <c r="Y9" i="16"/>
  <c r="Y10" i="16"/>
  <c r="Y11" i="16"/>
  <c r="Y12" i="16"/>
  <c r="Y13" i="16"/>
  <c r="Y14" i="16"/>
  <c r="Y15" i="16"/>
  <c r="Y16" i="16"/>
  <c r="Y17" i="16"/>
  <c r="Y18" i="16"/>
  <c r="Y19" i="16"/>
  <c r="Y20" i="16"/>
  <c r="Y21" i="16"/>
  <c r="Y22" i="16"/>
  <c r="AG9" i="16"/>
  <c r="K9" i="16" s="1"/>
  <c r="AH9" i="16"/>
  <c r="AI9" i="16"/>
  <c r="AG10" i="16"/>
  <c r="K10" i="16" s="1"/>
  <c r="AH10" i="16"/>
  <c r="AG11" i="16"/>
  <c r="K11" i="16" s="1"/>
  <c r="AH11" i="16"/>
  <c r="AG12" i="16"/>
  <c r="K12" i="16" s="1"/>
  <c r="AH12" i="16"/>
  <c r="AG13" i="16"/>
  <c r="K13" i="16" s="1"/>
  <c r="AH13" i="16"/>
  <c r="AG14" i="16"/>
  <c r="K14" i="16" s="1"/>
  <c r="AH14" i="16"/>
  <c r="AG15" i="16"/>
  <c r="K15" i="16" s="1"/>
  <c r="AH15" i="16"/>
  <c r="AG16" i="16"/>
  <c r="K16" i="16" s="1"/>
  <c r="AH16" i="16"/>
  <c r="AG17" i="16"/>
  <c r="K17" i="16" s="1"/>
  <c r="AH17" i="16"/>
  <c r="AG18" i="16"/>
  <c r="K18" i="16" s="1"/>
  <c r="AH18" i="16"/>
  <c r="AG19" i="16"/>
  <c r="K19" i="16" s="1"/>
  <c r="AH19" i="16"/>
  <c r="AG20" i="16"/>
  <c r="K20" i="16" s="1"/>
  <c r="AH20" i="16"/>
  <c r="AG21" i="16"/>
  <c r="K21" i="16" s="1"/>
  <c r="AH21" i="16"/>
  <c r="AG22" i="16"/>
  <c r="K22" i="16" s="1"/>
  <c r="AH22" i="16"/>
  <c r="L29" i="16"/>
  <c r="V29" i="16"/>
  <c r="L9" i="16"/>
  <c r="V9" i="16"/>
  <c r="L10" i="16"/>
  <c r="V10" i="16"/>
  <c r="L11" i="16"/>
  <c r="V11" i="16"/>
  <c r="L12" i="16"/>
  <c r="V12" i="16"/>
  <c r="L13" i="16"/>
  <c r="V13" i="16"/>
  <c r="L14" i="16"/>
  <c r="V14" i="16"/>
  <c r="L15" i="16"/>
  <c r="V15" i="16"/>
  <c r="L16" i="16"/>
  <c r="V16" i="16"/>
  <c r="L17" i="16"/>
  <c r="V17" i="16"/>
  <c r="L18" i="16"/>
  <c r="V18" i="16"/>
  <c r="L19" i="16"/>
  <c r="V19" i="16"/>
  <c r="L20" i="16"/>
  <c r="V20" i="16"/>
  <c r="L21" i="16"/>
  <c r="V21" i="16"/>
  <c r="L22" i="16"/>
  <c r="V22" i="16"/>
  <c r="L23" i="16"/>
  <c r="V23" i="16"/>
  <c r="L24" i="16"/>
  <c r="V24" i="16"/>
  <c r="L25" i="16"/>
  <c r="V25" i="16"/>
  <c r="L26" i="16"/>
  <c r="V26" i="16"/>
  <c r="L27" i="16"/>
  <c r="V27" i="16"/>
  <c r="L28" i="16"/>
  <c r="V28" i="16"/>
  <c r="D2" i="16"/>
  <c r="Y3" i="16"/>
  <c r="Y4" i="16"/>
  <c r="Y5" i="16"/>
  <c r="Y6" i="16"/>
  <c r="Y7" i="16"/>
  <c r="Y8" i="16"/>
  <c r="Y2" i="16"/>
  <c r="AH8" i="16"/>
  <c r="AG8" i="16"/>
  <c r="K8" i="16" s="1"/>
  <c r="AD8" i="16"/>
  <c r="V8" i="16"/>
  <c r="AH7" i="16"/>
  <c r="AG7" i="16"/>
  <c r="K7" i="16" s="1"/>
  <c r="AD7" i="16"/>
  <c r="L7" i="16"/>
  <c r="AH6" i="16"/>
  <c r="AG6" i="16"/>
  <c r="AD6" i="16"/>
  <c r="L6" i="16"/>
  <c r="AL5" i="16"/>
  <c r="AH5" i="16"/>
  <c r="AG5" i="16"/>
  <c r="K5" i="16" s="1"/>
  <c r="AD5" i="16"/>
  <c r="V5" i="16"/>
  <c r="AH4" i="16"/>
  <c r="AG4" i="16"/>
  <c r="K4" i="16" s="1"/>
  <c r="AD4" i="16"/>
  <c r="L4" i="16"/>
  <c r="AH3" i="16"/>
  <c r="AG3" i="16"/>
  <c r="K3" i="16" s="1"/>
  <c r="AD3" i="16"/>
  <c r="V3" i="16"/>
  <c r="L3" i="16"/>
  <c r="AH2" i="16"/>
  <c r="AG2" i="16"/>
  <c r="AD2" i="16"/>
  <c r="L2" i="16"/>
  <c r="M19" i="10"/>
  <c r="M20" i="10"/>
  <c r="M21" i="10"/>
  <c r="M22" i="10"/>
  <c r="M23" i="10"/>
  <c r="M24" i="10"/>
  <c r="M25" i="10"/>
  <c r="M26" i="10"/>
  <c r="J87" i="10"/>
  <c r="H87" i="10" s="1"/>
  <c r="J86" i="10"/>
  <c r="H86" i="10" s="1"/>
  <c r="J85" i="10"/>
  <c r="H85" i="10" s="1"/>
  <c r="G87" i="10"/>
  <c r="G86" i="10"/>
  <c r="D28" i="16" l="1"/>
  <c r="D25" i="16"/>
  <c r="D23" i="16"/>
  <c r="AI22" i="16"/>
  <c r="D22" i="16"/>
  <c r="D14" i="16"/>
  <c r="AI2" i="16"/>
  <c r="D24" i="16"/>
  <c r="D13" i="16"/>
  <c r="G11" i="16"/>
  <c r="I11" i="16" s="1"/>
  <c r="G25" i="16"/>
  <c r="M25" i="16" s="1"/>
  <c r="G20" i="16"/>
  <c r="H20" i="16" s="1"/>
  <c r="G13" i="16"/>
  <c r="N13" i="16" s="1"/>
  <c r="G17" i="16"/>
  <c r="H17" i="16" s="1"/>
  <c r="G9" i="16"/>
  <c r="N9" i="16" s="1"/>
  <c r="AI3" i="16"/>
  <c r="D10" i="16"/>
  <c r="D6" i="16"/>
  <c r="D16" i="16"/>
  <c r="D5" i="16"/>
  <c r="AI15" i="16"/>
  <c r="G29" i="16"/>
  <c r="U29" i="16" s="1"/>
  <c r="G8" i="16"/>
  <c r="AI13" i="16"/>
  <c r="AI24" i="16"/>
  <c r="AI23" i="16"/>
  <c r="AI4" i="16"/>
  <c r="G22" i="16"/>
  <c r="W13" i="16" s="1"/>
  <c r="AI14" i="16"/>
  <c r="G28" i="16"/>
  <c r="AI19" i="16"/>
  <c r="D21" i="16"/>
  <c r="G18" i="16"/>
  <c r="I18" i="16" s="1"/>
  <c r="AL6" i="16"/>
  <c r="AI27" i="16"/>
  <c r="G7" i="16"/>
  <c r="I7" i="16" s="1"/>
  <c r="G10" i="16"/>
  <c r="I10" i="16" s="1"/>
  <c r="AI10" i="16"/>
  <c r="D12" i="16"/>
  <c r="G12" i="16"/>
  <c r="AI12" i="16"/>
  <c r="G24" i="16"/>
  <c r="H24" i="16" s="1"/>
  <c r="AI18" i="16"/>
  <c r="D3" i="16"/>
  <c r="D20" i="16"/>
  <c r="G5" i="16"/>
  <c r="I5" i="16" s="1"/>
  <c r="G19" i="16"/>
  <c r="U19" i="16" s="1"/>
  <c r="D11" i="16"/>
  <c r="D29" i="16"/>
  <c r="D19" i="16"/>
  <c r="AI20" i="16"/>
  <c r="AI11" i="16"/>
  <c r="O11" i="16" s="1"/>
  <c r="D18" i="16"/>
  <c r="AI17" i="16"/>
  <c r="D17" i="16"/>
  <c r="G23" i="16"/>
  <c r="AI26" i="16"/>
  <c r="AI25" i="16"/>
  <c r="G21" i="16"/>
  <c r="M21" i="16" s="1"/>
  <c r="G14" i="16"/>
  <c r="U14" i="16" s="1"/>
  <c r="W29" i="16"/>
  <c r="G3" i="16"/>
  <c r="J3" i="16" s="1"/>
  <c r="D8" i="16"/>
  <c r="D27" i="16"/>
  <c r="G26" i="16"/>
  <c r="H26" i="16" s="1"/>
  <c r="AI21" i="16"/>
  <c r="W28" i="16"/>
  <c r="D4" i="16"/>
  <c r="M85" i="10"/>
  <c r="AI6" i="16"/>
  <c r="D7" i="16"/>
  <c r="D26" i="16"/>
  <c r="D9" i="16"/>
  <c r="G4" i="16"/>
  <c r="S4" i="16" s="1"/>
  <c r="G27" i="16"/>
  <c r="H27" i="16" s="1"/>
  <c r="G15" i="16"/>
  <c r="J15" i="16" s="1"/>
  <c r="AI29" i="16"/>
  <c r="Q29" i="16" s="1"/>
  <c r="D15" i="16"/>
  <c r="H28" i="16"/>
  <c r="AI28" i="16"/>
  <c r="N29" i="16"/>
  <c r="M29" i="16"/>
  <c r="I23" i="16"/>
  <c r="AI16" i="16"/>
  <c r="O10" i="16"/>
  <c r="G16" i="16"/>
  <c r="S28" i="16"/>
  <c r="Q13" i="16"/>
  <c r="I13" i="16"/>
  <c r="I9" i="16"/>
  <c r="I28" i="16"/>
  <c r="N8" i="16"/>
  <c r="M8" i="16"/>
  <c r="G2" i="16"/>
  <c r="AI7" i="16"/>
  <c r="V4" i="16"/>
  <c r="L5" i="16"/>
  <c r="V7" i="16"/>
  <c r="L8" i="16"/>
  <c r="G6" i="16"/>
  <c r="AI5" i="16"/>
  <c r="AI8" i="16"/>
  <c r="K2" i="16"/>
  <c r="K6" i="16"/>
  <c r="V2" i="16"/>
  <c r="V6" i="16"/>
  <c r="M86" i="10"/>
  <c r="M87" i="10"/>
  <c r="G85" i="10"/>
  <c r="H79" i="10"/>
  <c r="H81" i="10"/>
  <c r="H80" i="10"/>
  <c r="H82" i="10"/>
  <c r="H83" i="10"/>
  <c r="H84" i="10"/>
  <c r="G80" i="10"/>
  <c r="G81" i="10"/>
  <c r="G82" i="10"/>
  <c r="G83" i="10"/>
  <c r="G84" i="10"/>
  <c r="G79" i="10"/>
  <c r="J80" i="10"/>
  <c r="J81" i="10"/>
  <c r="J82" i="10"/>
  <c r="J83" i="10"/>
  <c r="J84" i="10"/>
  <c r="J79" i="10"/>
  <c r="H75" i="10"/>
  <c r="J75" i="10"/>
  <c r="M75" i="10" s="1"/>
  <c r="G75" i="10"/>
  <c r="H51" i="10"/>
  <c r="H52" i="10"/>
  <c r="H53" i="10"/>
  <c r="H54" i="10"/>
  <c r="H74" i="10"/>
  <c r="G74" i="10"/>
  <c r="J74" i="10"/>
  <c r="M74" i="10" s="1"/>
  <c r="G45" i="10"/>
  <c r="H64" i="10"/>
  <c r="H65" i="10"/>
  <c r="H66" i="10"/>
  <c r="H67" i="10"/>
  <c r="H68" i="10"/>
  <c r="H69" i="10"/>
  <c r="H70" i="10"/>
  <c r="H71" i="10"/>
  <c r="H72" i="10"/>
  <c r="H73" i="10"/>
  <c r="H63" i="10"/>
  <c r="J64" i="10"/>
  <c r="M64" i="10" s="1"/>
  <c r="J65" i="10"/>
  <c r="M65" i="10" s="1"/>
  <c r="J66" i="10"/>
  <c r="M66" i="10" s="1"/>
  <c r="J67" i="10"/>
  <c r="M67" i="10" s="1"/>
  <c r="J68" i="10"/>
  <c r="M68" i="10" s="1"/>
  <c r="J69" i="10"/>
  <c r="M69" i="10" s="1"/>
  <c r="J70" i="10"/>
  <c r="M70" i="10" s="1"/>
  <c r="J71" i="10"/>
  <c r="M71" i="10" s="1"/>
  <c r="J72" i="10"/>
  <c r="M72" i="10" s="1"/>
  <c r="J73" i="10"/>
  <c r="M73" i="10" s="1"/>
  <c r="J63" i="10"/>
  <c r="M63" i="10" s="1"/>
  <c r="G64" i="10"/>
  <c r="G65" i="10"/>
  <c r="G66" i="10"/>
  <c r="G67" i="10"/>
  <c r="G68" i="10"/>
  <c r="G69" i="10"/>
  <c r="G70" i="10"/>
  <c r="G71" i="10"/>
  <c r="G72" i="10"/>
  <c r="G73" i="10"/>
  <c r="G63" i="10"/>
  <c r="J59" i="10"/>
  <c r="M59" i="10" s="1"/>
  <c r="J60" i="10"/>
  <c r="M60" i="10" s="1"/>
  <c r="J61" i="10"/>
  <c r="M61" i="10" s="1"/>
  <c r="J62" i="10"/>
  <c r="M62" i="10" s="1"/>
  <c r="G59" i="10"/>
  <c r="G60" i="10"/>
  <c r="G61" i="10"/>
  <c r="G62" i="10"/>
  <c r="H59" i="10"/>
  <c r="H60" i="10"/>
  <c r="H61" i="10"/>
  <c r="H62" i="10"/>
  <c r="H56" i="10"/>
  <c r="H57" i="10"/>
  <c r="H58" i="10"/>
  <c r="H55" i="10"/>
  <c r="G58" i="10"/>
  <c r="G57" i="10"/>
  <c r="G56" i="10"/>
  <c r="G55" i="10"/>
  <c r="J57" i="10"/>
  <c r="M57" i="10" s="1"/>
  <c r="J58" i="10"/>
  <c r="M58" i="10" s="1"/>
  <c r="J56" i="10"/>
  <c r="M56" i="10" s="1"/>
  <c r="J55" i="10"/>
  <c r="M55" i="10" s="1"/>
  <c r="J54" i="10"/>
  <c r="M54" i="10" s="1"/>
  <c r="J52" i="10"/>
  <c r="M52" i="10" s="1"/>
  <c r="J53" i="10"/>
  <c r="M53" i="10" s="1"/>
  <c r="J51" i="10"/>
  <c r="M51" i="10" s="1"/>
  <c r="G54" i="10"/>
  <c r="G52" i="10"/>
  <c r="G53" i="10"/>
  <c r="G51" i="10"/>
  <c r="J50" i="10"/>
  <c r="J49" i="10"/>
  <c r="J48" i="10"/>
  <c r="G50" i="10"/>
  <c r="G49" i="10"/>
  <c r="G48" i="10"/>
  <c r="G47" i="10"/>
  <c r="G46" i="10"/>
  <c r="J47" i="10"/>
  <c r="J46" i="10"/>
  <c r="J45" i="10"/>
  <c r="G37" i="10"/>
  <c r="H43" i="10"/>
  <c r="H40" i="10"/>
  <c r="H39" i="10"/>
  <c r="H38" i="10"/>
  <c r="H37" i="10"/>
  <c r="J44" i="10"/>
  <c r="M44" i="10" s="1"/>
  <c r="J43" i="10"/>
  <c r="M43" i="10" s="1"/>
  <c r="J42" i="10"/>
  <c r="M42" i="10" s="1"/>
  <c r="J41" i="10"/>
  <c r="M41" i="10" s="1"/>
  <c r="J40" i="10"/>
  <c r="M40" i="10" s="1"/>
  <c r="J39" i="10"/>
  <c r="M39" i="10" s="1"/>
  <c r="J37" i="10"/>
  <c r="M37" i="10" s="1"/>
  <c r="J38" i="10"/>
  <c r="M38" i="10" s="1"/>
  <c r="J36" i="10"/>
  <c r="M36" i="10" s="1"/>
  <c r="J35" i="10"/>
  <c r="M35" i="10" s="1"/>
  <c r="J34" i="10"/>
  <c r="M34" i="10" s="1"/>
  <c r="J33" i="10"/>
  <c r="M33" i="10" s="1"/>
  <c r="J32" i="10"/>
  <c r="M32" i="10" s="1"/>
  <c r="J31" i="10"/>
  <c r="M31" i="10" s="1"/>
  <c r="J30" i="10"/>
  <c r="M30" i="10" s="1"/>
  <c r="J29" i="10"/>
  <c r="M29" i="10" s="1"/>
  <c r="J28" i="10"/>
  <c r="M28" i="10" s="1"/>
  <c r="J27" i="10"/>
  <c r="M27" i="10" s="1"/>
  <c r="J18" i="10"/>
  <c r="M18" i="10" s="1"/>
  <c r="J17" i="10"/>
  <c r="M17" i="10" s="1"/>
  <c r="J15" i="10"/>
  <c r="M15" i="10" s="1"/>
  <c r="J16" i="10"/>
  <c r="M16" i="10" s="1"/>
  <c r="J14" i="10"/>
  <c r="M14" i="10" s="1"/>
  <c r="J12" i="10"/>
  <c r="M12" i="10" s="1"/>
  <c r="J13" i="10"/>
  <c r="M13" i="10" s="1"/>
  <c r="J11" i="10"/>
  <c r="M11" i="10" s="1"/>
  <c r="J6" i="10"/>
  <c r="M6" i="10" s="1"/>
  <c r="J7" i="10"/>
  <c r="M7" i="10" s="1"/>
  <c r="J9" i="10"/>
  <c r="M9" i="10" s="1"/>
  <c r="J10" i="10"/>
  <c r="M10" i="10" s="1"/>
  <c r="J8" i="10"/>
  <c r="M8" i="10" s="1"/>
  <c r="J3" i="10"/>
  <c r="M3" i="10" s="1"/>
  <c r="J4" i="10"/>
  <c r="M4" i="10" s="1"/>
  <c r="J2" i="10"/>
  <c r="J5" i="10"/>
  <c r="M5" i="10" s="1"/>
  <c r="D2" i="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N10" i="16" l="1"/>
  <c r="I17" i="16"/>
  <c r="J13" i="16"/>
  <c r="O13" i="16"/>
  <c r="M13" i="16"/>
  <c r="J22" i="16"/>
  <c r="N7" i="16"/>
  <c r="H7" i="16"/>
  <c r="U10" i="16"/>
  <c r="N17" i="16"/>
  <c r="H13" i="16"/>
  <c r="M7" i="16"/>
  <c r="J7" i="16"/>
  <c r="W16" i="16"/>
  <c r="J10" i="16"/>
  <c r="I22" i="16"/>
  <c r="U7" i="16"/>
  <c r="M9" i="16"/>
  <c r="O22" i="16"/>
  <c r="S17" i="16"/>
  <c r="S22" i="16"/>
  <c r="J11" i="16"/>
  <c r="M18" i="16"/>
  <c r="N3" i="16"/>
  <c r="H22" i="16"/>
  <c r="U13" i="16"/>
  <c r="S19" i="16"/>
  <c r="N11" i="16"/>
  <c r="P11" i="16"/>
  <c r="U22" i="16"/>
  <c r="H11" i="16"/>
  <c r="U28" i="16"/>
  <c r="Q25" i="16"/>
  <c r="W20" i="16"/>
  <c r="J17" i="16"/>
  <c r="M24" i="16"/>
  <c r="M20" i="16"/>
  <c r="N28" i="16"/>
  <c r="M11" i="16"/>
  <c r="H29" i="16"/>
  <c r="H10" i="16"/>
  <c r="I29" i="16"/>
  <c r="W11" i="16"/>
  <c r="I12" i="16"/>
  <c r="J29" i="16"/>
  <c r="O17" i="16"/>
  <c r="U25" i="16"/>
  <c r="P17" i="16"/>
  <c r="P10" i="16"/>
  <c r="U17" i="16"/>
  <c r="I8" i="16"/>
  <c r="S27" i="16"/>
  <c r="W6" i="16"/>
  <c r="J8" i="16"/>
  <c r="U16" i="16"/>
  <c r="S24" i="16"/>
  <c r="N24" i="16"/>
  <c r="J25" i="16"/>
  <c r="U8" i="16"/>
  <c r="R19" i="16"/>
  <c r="I24" i="16"/>
  <c r="W4" i="16"/>
  <c r="W8" i="16"/>
  <c r="N25" i="16"/>
  <c r="W5" i="16"/>
  <c r="H8" i="16"/>
  <c r="P24" i="16"/>
  <c r="Q24" i="16"/>
  <c r="R13" i="16"/>
  <c r="Q27" i="16"/>
  <c r="W9" i="16"/>
  <c r="J9" i="16"/>
  <c r="W17" i="16"/>
  <c r="O8" i="16"/>
  <c r="W2" i="16"/>
  <c r="M5" i="16"/>
  <c r="R4" i="16"/>
  <c r="U24" i="16"/>
  <c r="O9" i="16"/>
  <c r="P25" i="16"/>
  <c r="R27" i="16"/>
  <c r="N27" i="16"/>
  <c r="O24" i="16"/>
  <c r="Q19" i="16"/>
  <c r="P5" i="16"/>
  <c r="U5" i="16"/>
  <c r="O4" i="16"/>
  <c r="N20" i="16"/>
  <c r="Q20" i="16"/>
  <c r="S13" i="16"/>
  <c r="N5" i="16"/>
  <c r="U4" i="16"/>
  <c r="S15" i="16"/>
  <c r="H9" i="16"/>
  <c r="M28" i="16"/>
  <c r="Q15" i="16"/>
  <c r="P15" i="16"/>
  <c r="Q22" i="16"/>
  <c r="W25" i="16"/>
  <c r="P13" i="16"/>
  <c r="P4" i="16"/>
  <c r="J28" i="16"/>
  <c r="I20" i="16"/>
  <c r="Q9" i="16"/>
  <c r="I25" i="16"/>
  <c r="R9" i="16"/>
  <c r="M17" i="16"/>
  <c r="N22" i="16"/>
  <c r="R26" i="16"/>
  <c r="Q11" i="16"/>
  <c r="J20" i="16"/>
  <c r="U11" i="16"/>
  <c r="M27" i="16"/>
  <c r="S9" i="16"/>
  <c r="M22" i="16"/>
  <c r="W14" i="16"/>
  <c r="H25" i="16"/>
  <c r="S3" i="16"/>
  <c r="U9" i="16"/>
  <c r="P23" i="16"/>
  <c r="W7" i="16"/>
  <c r="R15" i="16"/>
  <c r="U20" i="16"/>
  <c r="O25" i="16"/>
  <c r="U27" i="16"/>
  <c r="I15" i="16"/>
  <c r="P9" i="16"/>
  <c r="R22" i="16"/>
  <c r="P22" i="16"/>
  <c r="W22" i="16"/>
  <c r="W12" i="16"/>
  <c r="R20" i="16"/>
  <c r="Q17" i="16"/>
  <c r="H12" i="16"/>
  <c r="I84" i="10"/>
  <c r="M84" i="10" s="1"/>
  <c r="Q3" i="16"/>
  <c r="P3" i="16"/>
  <c r="P16" i="16"/>
  <c r="J24" i="16"/>
  <c r="R10" i="16"/>
  <c r="S10" i="16"/>
  <c r="R17" i="16"/>
  <c r="W18" i="16"/>
  <c r="W24" i="16"/>
  <c r="P12" i="16"/>
  <c r="I16" i="16"/>
  <c r="H18" i="16"/>
  <c r="S14" i="16"/>
  <c r="N18" i="16"/>
  <c r="I3" i="16"/>
  <c r="H3" i="16"/>
  <c r="R24" i="16"/>
  <c r="S20" i="16"/>
  <c r="J18" i="16"/>
  <c r="Q10" i="16"/>
  <c r="Q23" i="16"/>
  <c r="P19" i="16"/>
  <c r="S18" i="16"/>
  <c r="O20" i="16"/>
  <c r="O3" i="16"/>
  <c r="R3" i="16"/>
  <c r="P20" i="16"/>
  <c r="J12" i="16"/>
  <c r="Q21" i="16"/>
  <c r="P14" i="16"/>
  <c r="I14" i="16"/>
  <c r="O29" i="16"/>
  <c r="U18" i="16"/>
  <c r="W10" i="16"/>
  <c r="Q12" i="16"/>
  <c r="O12" i="16"/>
  <c r="N14" i="16"/>
  <c r="R12" i="16"/>
  <c r="U12" i="16"/>
  <c r="S12" i="16"/>
  <c r="M12" i="16"/>
  <c r="Q14" i="16"/>
  <c r="J14" i="16"/>
  <c r="M10" i="16"/>
  <c r="M14" i="16"/>
  <c r="H23" i="16"/>
  <c r="W26" i="16"/>
  <c r="N23" i="16"/>
  <c r="N26" i="16"/>
  <c r="H19" i="16"/>
  <c r="O5" i="16"/>
  <c r="R23" i="16"/>
  <c r="M23" i="16"/>
  <c r="I19" i="16"/>
  <c r="Q26" i="16"/>
  <c r="J19" i="16"/>
  <c r="W23" i="16"/>
  <c r="J5" i="16"/>
  <c r="N4" i="16"/>
  <c r="N12" i="16"/>
  <c r="U15" i="16"/>
  <c r="U23" i="16"/>
  <c r="R14" i="16"/>
  <c r="I27" i="16"/>
  <c r="J27" i="16"/>
  <c r="J23" i="16"/>
  <c r="I82" i="10"/>
  <c r="M82" i="10" s="1"/>
  <c r="AD46" i="10" a="1"/>
  <c r="R11" i="16"/>
  <c r="S11" i="16"/>
  <c r="S23" i="16"/>
  <c r="N19" i="16"/>
  <c r="O19" i="16"/>
  <c r="U26" i="16"/>
  <c r="O18" i="16"/>
  <c r="P18" i="16"/>
  <c r="M2" i="10"/>
  <c r="AD24" i="10" a="1"/>
  <c r="H5" i="16"/>
  <c r="R29" i="16"/>
  <c r="Q18" i="16"/>
  <c r="P29" i="16"/>
  <c r="W19" i="16"/>
  <c r="R18" i="16"/>
  <c r="O23" i="16"/>
  <c r="M19" i="16"/>
  <c r="S29" i="16"/>
  <c r="J26" i="16"/>
  <c r="S16" i="16"/>
  <c r="I4" i="16"/>
  <c r="R16" i="16"/>
  <c r="R28" i="16"/>
  <c r="P21" i="16"/>
  <c r="R21" i="16"/>
  <c r="S26" i="16"/>
  <c r="O27" i="16"/>
  <c r="W27" i="16"/>
  <c r="M3" i="16"/>
  <c r="U3" i="16"/>
  <c r="W3" i="16"/>
  <c r="H14" i="16"/>
  <c r="O14" i="16"/>
  <c r="W21" i="16"/>
  <c r="M4" i="16"/>
  <c r="Q4" i="16"/>
  <c r="P28" i="16"/>
  <c r="N16" i="16"/>
  <c r="M16" i="16"/>
  <c r="N15" i="16"/>
  <c r="O28" i="16"/>
  <c r="M26" i="16"/>
  <c r="P27" i="16"/>
  <c r="S25" i="16"/>
  <c r="J4" i="16"/>
  <c r="O15" i="16"/>
  <c r="R25" i="16"/>
  <c r="W15" i="16"/>
  <c r="I26" i="16"/>
  <c r="O26" i="16"/>
  <c r="P26" i="16"/>
  <c r="N21" i="16"/>
  <c r="S21" i="16"/>
  <c r="U21" i="16"/>
  <c r="H21" i="16"/>
  <c r="J21" i="16"/>
  <c r="Q28" i="16"/>
  <c r="I83" i="10"/>
  <c r="M83" i="10" s="1"/>
  <c r="H4" i="16"/>
  <c r="M15" i="16"/>
  <c r="I21" i="16"/>
  <c r="H15" i="16"/>
  <c r="O21" i="16"/>
  <c r="H16" i="16"/>
  <c r="O16" i="16"/>
  <c r="Q16" i="16"/>
  <c r="J16" i="16"/>
  <c r="R7" i="16"/>
  <c r="S7" i="16"/>
  <c r="S5" i="16"/>
  <c r="U2" i="16"/>
  <c r="S2" i="16"/>
  <c r="H2" i="16"/>
  <c r="O2" i="16"/>
  <c r="M2" i="16"/>
  <c r="R2" i="16"/>
  <c r="J2" i="16"/>
  <c r="Q2" i="16"/>
  <c r="I2" i="16"/>
  <c r="P2" i="16"/>
  <c r="N2" i="16"/>
  <c r="S8" i="16"/>
  <c r="R8" i="16"/>
  <c r="R5" i="16"/>
  <c r="O7" i="16"/>
  <c r="Q7" i="16"/>
  <c r="Q5" i="16"/>
  <c r="Q8" i="16"/>
  <c r="N6" i="16"/>
  <c r="U6" i="16"/>
  <c r="S6" i="16"/>
  <c r="R6" i="16"/>
  <c r="J6" i="16"/>
  <c r="Q6" i="16"/>
  <c r="I6" i="16"/>
  <c r="P6" i="16"/>
  <c r="H6" i="16"/>
  <c r="O6" i="16"/>
  <c r="M6" i="16"/>
  <c r="P7" i="16"/>
  <c r="P8" i="16"/>
  <c r="I80" i="10"/>
  <c r="M80" i="10" s="1"/>
  <c r="I81" i="10"/>
  <c r="M81" i="10" s="1"/>
  <c r="H45" i="10"/>
  <c r="M45" i="10"/>
  <c r="H48" i="10"/>
  <c r="M48" i="10"/>
  <c r="I79" i="10"/>
  <c r="H46" i="10"/>
  <c r="M46" i="10"/>
  <c r="H49" i="10"/>
  <c r="M49" i="10"/>
  <c r="H47" i="10"/>
  <c r="M47" i="10"/>
  <c r="H50" i="10"/>
  <c r="M50" i="10"/>
  <c r="M79" i="10" l="1"/>
  <c r="AD2" i="10" a="1"/>
  <c r="AD31" i="10"/>
  <c r="AD27" i="10"/>
  <c r="AD34" i="10"/>
  <c r="AD29" i="10"/>
  <c r="AD28" i="10"/>
  <c r="AD24" i="10"/>
  <c r="AD26" i="10"/>
  <c r="AD32" i="10"/>
  <c r="AD35" i="10"/>
  <c r="AD33" i="10"/>
  <c r="AD30" i="10"/>
  <c r="AD25" i="10"/>
  <c r="AD53" i="10"/>
  <c r="AD52" i="10"/>
  <c r="AD48" i="10"/>
  <c r="AD49" i="10"/>
  <c r="AD56" i="10"/>
  <c r="AD59" i="10"/>
  <c r="AD55" i="10"/>
  <c r="AD51" i="10"/>
  <c r="AD47" i="10"/>
  <c r="AD57" i="10"/>
  <c r="AD58" i="10"/>
  <c r="AD54" i="10"/>
  <c r="AD50" i="10"/>
  <c r="AD46" i="10"/>
  <c r="E11" i="15"/>
  <c r="L11" i="15" s="1"/>
  <c r="E10" i="15"/>
  <c r="V10" i="15" s="1"/>
  <c r="E9" i="15"/>
  <c r="V9" i="15" s="1"/>
  <c r="E8" i="15"/>
  <c r="V8" i="15" s="1"/>
  <c r="E7" i="15"/>
  <c r="V7" i="15" s="1"/>
  <c r="E6" i="15"/>
  <c r="L6" i="15" s="1"/>
  <c r="E5" i="15"/>
  <c r="E4" i="15"/>
  <c r="L4" i="15" s="1"/>
  <c r="E2" i="15"/>
  <c r="V2" i="15" s="1"/>
  <c r="L3" i="15"/>
  <c r="V3" i="15"/>
  <c r="Y3" i="15"/>
  <c r="AD3" i="15"/>
  <c r="AG3" i="15"/>
  <c r="K3" i="15" s="1"/>
  <c r="AH3" i="15"/>
  <c r="Y4" i="15"/>
  <c r="AD4" i="15"/>
  <c r="AG4" i="15"/>
  <c r="AH4" i="15"/>
  <c r="Y5" i="15"/>
  <c r="AD5" i="15"/>
  <c r="AG5" i="15"/>
  <c r="AH5" i="15"/>
  <c r="Y6" i="15"/>
  <c r="AD6" i="15"/>
  <c r="AG6" i="15"/>
  <c r="AH6" i="15"/>
  <c r="Y7" i="15"/>
  <c r="AD7" i="15"/>
  <c r="AG7" i="15"/>
  <c r="K7" i="15" s="1"/>
  <c r="AH7" i="15"/>
  <c r="Y8" i="15"/>
  <c r="AD8" i="15"/>
  <c r="AG8" i="15"/>
  <c r="AH8" i="15"/>
  <c r="Y9" i="15"/>
  <c r="AD9" i="15"/>
  <c r="AG9" i="15"/>
  <c r="AH9" i="15"/>
  <c r="Y10" i="15"/>
  <c r="AD10" i="15"/>
  <c r="AG10" i="15"/>
  <c r="AH10" i="15"/>
  <c r="Y11" i="15"/>
  <c r="AD11" i="15"/>
  <c r="AG11" i="15"/>
  <c r="AH11" i="15"/>
  <c r="Y2" i="15"/>
  <c r="AL5" i="15"/>
  <c r="AL6" i="15" s="1"/>
  <c r="AH2" i="15"/>
  <c r="AG2" i="15"/>
  <c r="AD2" i="15"/>
  <c r="E43" i="14"/>
  <c r="L43" i="14" s="1"/>
  <c r="E42" i="14"/>
  <c r="L42" i="14" s="1"/>
  <c r="E41" i="14"/>
  <c r="G41" i="14" s="1"/>
  <c r="E40" i="14"/>
  <c r="L40" i="14" s="1"/>
  <c r="E39" i="14"/>
  <c r="G39" i="14" s="1"/>
  <c r="E38" i="14"/>
  <c r="L38" i="14" s="1"/>
  <c r="E37" i="14"/>
  <c r="G37" i="14" s="1"/>
  <c r="E36" i="14"/>
  <c r="E35" i="14"/>
  <c r="V35" i="14" s="1"/>
  <c r="E33" i="14"/>
  <c r="G33" i="14" s="1"/>
  <c r="E34" i="14"/>
  <c r="V34" i="14" s="1"/>
  <c r="E32" i="14"/>
  <c r="G32" i="14" s="1"/>
  <c r="R32" i="14" s="1"/>
  <c r="E31" i="14"/>
  <c r="L31" i="14" s="1"/>
  <c r="E30" i="14"/>
  <c r="L30" i="14" s="1"/>
  <c r="E29" i="14"/>
  <c r="L29" i="14" s="1"/>
  <c r="E28" i="14"/>
  <c r="L28" i="14" s="1"/>
  <c r="E27" i="14"/>
  <c r="V27" i="14" s="1"/>
  <c r="E26" i="14"/>
  <c r="L26" i="14" s="1"/>
  <c r="E25" i="14"/>
  <c r="G25" i="14" s="1"/>
  <c r="E24" i="14"/>
  <c r="G24" i="14" s="1"/>
  <c r="E23" i="14"/>
  <c r="G23" i="14" s="1"/>
  <c r="E22" i="14"/>
  <c r="E21" i="14"/>
  <c r="V21" i="14" s="1"/>
  <c r="E20" i="14"/>
  <c r="G20" i="14" s="1"/>
  <c r="S20" i="14" s="1"/>
  <c r="E19" i="14"/>
  <c r="L19" i="14" s="1"/>
  <c r="E18" i="14"/>
  <c r="G18" i="14" s="1"/>
  <c r="E17" i="14"/>
  <c r="G17" i="14" s="1"/>
  <c r="E16" i="14"/>
  <c r="L16" i="14" s="1"/>
  <c r="E15" i="14"/>
  <c r="G15" i="14" s="1"/>
  <c r="E14" i="14"/>
  <c r="V14" i="14" s="1"/>
  <c r="E13" i="14"/>
  <c r="G13" i="14" s="1"/>
  <c r="AE2" i="14"/>
  <c r="AE3" i="14"/>
  <c r="AE4" i="14"/>
  <c r="AE5" i="14"/>
  <c r="AE6" i="14"/>
  <c r="AE7" i="14"/>
  <c r="AE8" i="14"/>
  <c r="AE9" i="14"/>
  <c r="AE10" i="14"/>
  <c r="AE11" i="14"/>
  <c r="AE12" i="14"/>
  <c r="AE13" i="14"/>
  <c r="AE14" i="14"/>
  <c r="AE15" i="14"/>
  <c r="AE16" i="14"/>
  <c r="AE17" i="14"/>
  <c r="AE18" i="14"/>
  <c r="AE19" i="14"/>
  <c r="AE20" i="14"/>
  <c r="AE21" i="14"/>
  <c r="AE22" i="14"/>
  <c r="AE23" i="14"/>
  <c r="AE24" i="14"/>
  <c r="AE25" i="14"/>
  <c r="AE26" i="14"/>
  <c r="AE27" i="14"/>
  <c r="AE28" i="14"/>
  <c r="AE29" i="14"/>
  <c r="AE30" i="14"/>
  <c r="AE31" i="14"/>
  <c r="AE32" i="14"/>
  <c r="AE33" i="14"/>
  <c r="AE34" i="14"/>
  <c r="AE35" i="14"/>
  <c r="AE36" i="14"/>
  <c r="AE37" i="14"/>
  <c r="AE38" i="14"/>
  <c r="AE39" i="14"/>
  <c r="AE40" i="14"/>
  <c r="AE41" i="14"/>
  <c r="AE42" i="14"/>
  <c r="AE43" i="14"/>
  <c r="E12" i="14"/>
  <c r="G12" i="14" s="1"/>
  <c r="E11" i="14"/>
  <c r="V11" i="14" s="1"/>
  <c r="E10" i="14"/>
  <c r="G10" i="14" s="1"/>
  <c r="E9" i="14"/>
  <c r="V9" i="14" s="1"/>
  <c r="E8" i="14"/>
  <c r="L8" i="14" s="1"/>
  <c r="Y2" i="14"/>
  <c r="Y3" i="14"/>
  <c r="Y4" i="14"/>
  <c r="Y5" i="14"/>
  <c r="Y6" i="14"/>
  <c r="Y7" i="14"/>
  <c r="E7" i="14"/>
  <c r="V7" i="14" s="1"/>
  <c r="E6" i="14"/>
  <c r="L6" i="14" s="1"/>
  <c r="E5" i="14"/>
  <c r="E3" i="14"/>
  <c r="V3" i="14" s="1"/>
  <c r="E4" i="14"/>
  <c r="E2" i="14"/>
  <c r="V2" i="14" s="1"/>
  <c r="AH43" i="14"/>
  <c r="AG43" i="14"/>
  <c r="AH42" i="14"/>
  <c r="AG42" i="14"/>
  <c r="AH41" i="14"/>
  <c r="AG41" i="14"/>
  <c r="AH40" i="14"/>
  <c r="AG40" i="14"/>
  <c r="AH39" i="14"/>
  <c r="AG39" i="14"/>
  <c r="AH38" i="14"/>
  <c r="AG38" i="14"/>
  <c r="AH37" i="14"/>
  <c r="AG37" i="14"/>
  <c r="AH36" i="14"/>
  <c r="AG36" i="14"/>
  <c r="AH35" i="14"/>
  <c r="AG35" i="14"/>
  <c r="AH34" i="14"/>
  <c r="AG34" i="14"/>
  <c r="AH33" i="14"/>
  <c r="AG33" i="14"/>
  <c r="AH32" i="14"/>
  <c r="AG32" i="14"/>
  <c r="AH31" i="14"/>
  <c r="AG31" i="14"/>
  <c r="AH30" i="14"/>
  <c r="AG30" i="14"/>
  <c r="AH29" i="14"/>
  <c r="AG29" i="14"/>
  <c r="AH28" i="14"/>
  <c r="AG28" i="14"/>
  <c r="AH27" i="14"/>
  <c r="AG27" i="14"/>
  <c r="L27" i="14"/>
  <c r="AH26" i="14"/>
  <c r="AG26" i="14"/>
  <c r="AH25" i="14"/>
  <c r="AG25" i="14"/>
  <c r="AH24" i="14"/>
  <c r="AG24" i="14"/>
  <c r="AH23" i="14"/>
  <c r="AG23" i="14"/>
  <c r="AH22" i="14"/>
  <c r="AG22" i="14"/>
  <c r="AH21" i="14"/>
  <c r="AG21" i="14"/>
  <c r="AH20" i="14"/>
  <c r="AG20" i="14"/>
  <c r="AH19" i="14"/>
  <c r="AG19" i="14"/>
  <c r="AH18" i="14"/>
  <c r="AG18" i="14"/>
  <c r="AH17" i="14"/>
  <c r="AG17" i="14"/>
  <c r="AH16" i="14"/>
  <c r="AG16" i="14"/>
  <c r="AH15" i="14"/>
  <c r="AG15" i="14"/>
  <c r="AH14" i="14"/>
  <c r="AG14" i="14"/>
  <c r="AH13" i="14"/>
  <c r="AG13" i="14"/>
  <c r="AH12" i="14"/>
  <c r="AG12" i="14"/>
  <c r="AH11" i="14"/>
  <c r="AG11" i="14"/>
  <c r="AH10" i="14"/>
  <c r="AG10" i="14"/>
  <c r="AH9" i="14"/>
  <c r="AG9" i="14"/>
  <c r="AH8" i="14"/>
  <c r="AG8" i="14"/>
  <c r="AH7" i="14"/>
  <c r="AG7" i="14"/>
  <c r="AH6" i="14"/>
  <c r="AG6" i="14"/>
  <c r="AL5" i="14"/>
  <c r="AH5" i="14"/>
  <c r="AG5" i="14"/>
  <c r="AH4" i="14"/>
  <c r="AG4" i="14"/>
  <c r="AH3" i="14"/>
  <c r="AG3" i="14"/>
  <c r="AH2" i="14"/>
  <c r="AG2" i="14"/>
  <c r="AI73" i="13"/>
  <c r="AI74" i="13"/>
  <c r="AI75" i="13"/>
  <c r="AI76" i="13"/>
  <c r="AI77" i="13"/>
  <c r="AI78" i="13"/>
  <c r="AI79" i="13"/>
  <c r="AI80" i="13"/>
  <c r="AI81" i="13"/>
  <c r="AI82" i="13"/>
  <c r="AI83" i="13"/>
  <c r="Y77" i="13"/>
  <c r="Z77" i="13"/>
  <c r="AA77" i="13"/>
  <c r="AB77" i="13"/>
  <c r="Y78" i="13"/>
  <c r="Z78" i="13"/>
  <c r="F78" i="13" s="1"/>
  <c r="AA78" i="13"/>
  <c r="AB78" i="13"/>
  <c r="Y79" i="13"/>
  <c r="Z79" i="13"/>
  <c r="AA79" i="13"/>
  <c r="AB79" i="13"/>
  <c r="Y80" i="13"/>
  <c r="Z80" i="13"/>
  <c r="AA80" i="13"/>
  <c r="AB80" i="13"/>
  <c r="Y81" i="13"/>
  <c r="Z81" i="13"/>
  <c r="F81" i="13" s="1"/>
  <c r="AA81" i="13"/>
  <c r="AB81" i="13"/>
  <c r="Y82" i="13"/>
  <c r="Z82" i="13"/>
  <c r="F82" i="13" s="1"/>
  <c r="AA82" i="13"/>
  <c r="AB82" i="13"/>
  <c r="Y83" i="13"/>
  <c r="Z83" i="13"/>
  <c r="F83" i="13" s="1"/>
  <c r="AA83" i="13"/>
  <c r="AB83" i="13"/>
  <c r="AI72" i="13"/>
  <c r="AI71" i="13"/>
  <c r="AA72" i="13"/>
  <c r="AA73" i="13"/>
  <c r="AA74" i="13"/>
  <c r="AA75" i="13"/>
  <c r="AA76" i="13"/>
  <c r="AA71" i="13"/>
  <c r="AB72" i="13"/>
  <c r="AB73" i="13"/>
  <c r="AB74" i="13"/>
  <c r="AB75" i="13"/>
  <c r="AB76" i="13"/>
  <c r="AB71" i="13"/>
  <c r="Z72" i="13"/>
  <c r="Z73" i="13"/>
  <c r="F73" i="13" s="1"/>
  <c r="Z74" i="13"/>
  <c r="F74" i="13" s="1"/>
  <c r="Z75" i="13"/>
  <c r="F75" i="13" s="1"/>
  <c r="Z76" i="13"/>
  <c r="F76" i="13" s="1"/>
  <c r="Z71" i="13"/>
  <c r="Y72" i="13"/>
  <c r="Y73" i="13"/>
  <c r="Y74" i="13"/>
  <c r="Y75" i="13"/>
  <c r="Y76" i="13"/>
  <c r="Y71" i="13"/>
  <c r="AI61" i="13"/>
  <c r="AI62" i="13"/>
  <c r="AI63" i="13"/>
  <c r="AI64" i="13"/>
  <c r="AI65" i="13"/>
  <c r="AI66" i="13"/>
  <c r="AI67" i="13"/>
  <c r="AI68" i="13"/>
  <c r="AI69" i="13"/>
  <c r="AI70" i="13"/>
  <c r="Y61" i="13"/>
  <c r="Z61" i="13"/>
  <c r="AA61" i="13"/>
  <c r="AB61" i="13"/>
  <c r="Y62" i="13"/>
  <c r="Z62" i="13"/>
  <c r="F62" i="13" s="1"/>
  <c r="AA62" i="13"/>
  <c r="AB62" i="13"/>
  <c r="Y63" i="13"/>
  <c r="Z63" i="13"/>
  <c r="F63" i="13" s="1"/>
  <c r="AA63" i="13"/>
  <c r="AB63" i="13"/>
  <c r="Y64" i="13"/>
  <c r="Z64" i="13"/>
  <c r="AA64" i="13"/>
  <c r="AB64" i="13"/>
  <c r="AG64" i="13" s="1"/>
  <c r="K64" i="13" s="1"/>
  <c r="Y65" i="13"/>
  <c r="Z65" i="13"/>
  <c r="F65" i="13" s="1"/>
  <c r="AA65" i="13"/>
  <c r="AB65" i="13"/>
  <c r="Y66" i="13"/>
  <c r="Z66" i="13"/>
  <c r="F66" i="13" s="1"/>
  <c r="AA66" i="13"/>
  <c r="AB66" i="13"/>
  <c r="Y67" i="13"/>
  <c r="Z67" i="13"/>
  <c r="F67" i="13" s="1"/>
  <c r="AA67" i="13"/>
  <c r="AB67" i="13"/>
  <c r="Y68" i="13"/>
  <c r="Z68" i="13"/>
  <c r="F68" i="13" s="1"/>
  <c r="AA68" i="13"/>
  <c r="AB68" i="13"/>
  <c r="Y69" i="13"/>
  <c r="Z69" i="13"/>
  <c r="F69" i="13" s="1"/>
  <c r="AA69" i="13"/>
  <c r="AB69" i="13"/>
  <c r="Y70" i="13"/>
  <c r="Z70" i="13"/>
  <c r="F70" i="13" s="1"/>
  <c r="AA70" i="13"/>
  <c r="AB70" i="13"/>
  <c r="AI52" i="13"/>
  <c r="AI53" i="13"/>
  <c r="AI54" i="13"/>
  <c r="AI55" i="13"/>
  <c r="AI56" i="13"/>
  <c r="AI57" i="13"/>
  <c r="AI58" i="13"/>
  <c r="AI59" i="13"/>
  <c r="AI60" i="13"/>
  <c r="AI51" i="13"/>
  <c r="AB52" i="13"/>
  <c r="AB53" i="13"/>
  <c r="AB54" i="13"/>
  <c r="AB55" i="13"/>
  <c r="AB56" i="13"/>
  <c r="AB57" i="13"/>
  <c r="AB58" i="13"/>
  <c r="AB59" i="13"/>
  <c r="AB60" i="13"/>
  <c r="AB51" i="13"/>
  <c r="AA52" i="13"/>
  <c r="AA53" i="13"/>
  <c r="AA54" i="13"/>
  <c r="AA55" i="13"/>
  <c r="AA56" i="13"/>
  <c r="AA57" i="13"/>
  <c r="AA58" i="13"/>
  <c r="AA59" i="13"/>
  <c r="AA60" i="13"/>
  <c r="AA51" i="13"/>
  <c r="Y52" i="13"/>
  <c r="Y53" i="13"/>
  <c r="Y54" i="13"/>
  <c r="Y55" i="13"/>
  <c r="Y56" i="13"/>
  <c r="Y57" i="13"/>
  <c r="Y58" i="13"/>
  <c r="Y59" i="13"/>
  <c r="Y60" i="13"/>
  <c r="Y51" i="13"/>
  <c r="Z52" i="13"/>
  <c r="F52" i="13" s="1"/>
  <c r="Z53" i="13"/>
  <c r="Z54" i="13"/>
  <c r="Z55" i="13"/>
  <c r="Z56" i="13"/>
  <c r="F56" i="13" s="1"/>
  <c r="Z57" i="13"/>
  <c r="F57" i="13" s="1"/>
  <c r="Z58" i="13"/>
  <c r="F58" i="13" s="1"/>
  <c r="Z59" i="13"/>
  <c r="F59" i="13" s="1"/>
  <c r="Z60" i="13"/>
  <c r="F60" i="13" s="1"/>
  <c r="Z51" i="13"/>
  <c r="F51" i="13" s="1"/>
  <c r="Y44" i="13"/>
  <c r="Y45" i="13"/>
  <c r="Y46" i="13"/>
  <c r="Y47" i="13"/>
  <c r="Y48" i="13"/>
  <c r="Y49" i="13"/>
  <c r="Y50" i="13"/>
  <c r="Z44" i="13"/>
  <c r="F44" i="13" s="1"/>
  <c r="Z45" i="13"/>
  <c r="Z46" i="13"/>
  <c r="F46" i="13" s="1"/>
  <c r="Z47" i="13"/>
  <c r="F47" i="13" s="1"/>
  <c r="Z48" i="13"/>
  <c r="F48" i="13" s="1"/>
  <c r="Z49" i="13"/>
  <c r="F49" i="13" s="1"/>
  <c r="Z50" i="13"/>
  <c r="F50" i="13" s="1"/>
  <c r="AB45" i="13"/>
  <c r="AB46" i="13"/>
  <c r="AB47" i="13"/>
  <c r="AB48" i="13"/>
  <c r="AB49" i="13"/>
  <c r="AB50" i="13"/>
  <c r="AB44" i="13"/>
  <c r="AA44" i="13"/>
  <c r="AA45" i="13"/>
  <c r="AA46" i="13"/>
  <c r="AA47" i="13"/>
  <c r="AA48" i="13"/>
  <c r="AA49" i="13"/>
  <c r="AG49" i="13" s="1"/>
  <c r="K49" i="13" s="1"/>
  <c r="AA50" i="13"/>
  <c r="AH50" i="13" s="1"/>
  <c r="Y42" i="13"/>
  <c r="Z42" i="13"/>
  <c r="F42" i="13" s="1"/>
  <c r="AA42" i="13"/>
  <c r="AB42" i="13"/>
  <c r="Y43" i="13"/>
  <c r="Z43" i="13"/>
  <c r="F43" i="13" s="1"/>
  <c r="AA43" i="13"/>
  <c r="AB43" i="13"/>
  <c r="Y38" i="13"/>
  <c r="Z38" i="13"/>
  <c r="F38" i="13" s="1"/>
  <c r="AA38" i="13"/>
  <c r="AB38" i="13"/>
  <c r="Y39" i="13"/>
  <c r="Z39" i="13"/>
  <c r="F39" i="13" s="1"/>
  <c r="AA39" i="13"/>
  <c r="AB39" i="13"/>
  <c r="Y40" i="13"/>
  <c r="Z40" i="13"/>
  <c r="F40" i="13" s="1"/>
  <c r="AA40" i="13"/>
  <c r="AB40" i="13"/>
  <c r="Y41" i="13"/>
  <c r="Z41" i="13"/>
  <c r="F41" i="13" s="1"/>
  <c r="AA41" i="13"/>
  <c r="AB41" i="13"/>
  <c r="AA37" i="13"/>
  <c r="AB37" i="13"/>
  <c r="AA36" i="13"/>
  <c r="Y37" i="13"/>
  <c r="Z37" i="13"/>
  <c r="F37" i="13" s="1"/>
  <c r="Y31" i="13"/>
  <c r="Z31" i="13"/>
  <c r="F31" i="13" s="1"/>
  <c r="AA31" i="13"/>
  <c r="AB31" i="13"/>
  <c r="Y32" i="13"/>
  <c r="Z32" i="13"/>
  <c r="F32" i="13" s="1"/>
  <c r="AA32" i="13"/>
  <c r="AB32" i="13"/>
  <c r="Y33" i="13"/>
  <c r="Z33" i="13"/>
  <c r="F33" i="13" s="1"/>
  <c r="AA33" i="13"/>
  <c r="AB33" i="13"/>
  <c r="Y34" i="13"/>
  <c r="Z34" i="13"/>
  <c r="F34" i="13" s="1"/>
  <c r="AA34" i="13"/>
  <c r="AB34" i="13"/>
  <c r="Y35" i="13"/>
  <c r="Z35" i="13"/>
  <c r="F35" i="13" s="1"/>
  <c r="AA35" i="13"/>
  <c r="AB35" i="13"/>
  <c r="Y36" i="13"/>
  <c r="Z36" i="13"/>
  <c r="F36" i="13" s="1"/>
  <c r="AB36" i="13"/>
  <c r="Y30" i="13"/>
  <c r="Z30" i="13"/>
  <c r="AA30" i="13"/>
  <c r="AB30" i="13"/>
  <c r="Y25" i="13"/>
  <c r="Z25" i="13"/>
  <c r="F25" i="13" s="1"/>
  <c r="AA25" i="13"/>
  <c r="AB25" i="13"/>
  <c r="Y26" i="13"/>
  <c r="Z26" i="13"/>
  <c r="F26" i="13" s="1"/>
  <c r="AA26" i="13"/>
  <c r="AB26" i="13"/>
  <c r="Y27" i="13"/>
  <c r="Z27" i="13"/>
  <c r="F27" i="13" s="1"/>
  <c r="AA27" i="13"/>
  <c r="AB27" i="13"/>
  <c r="Y28" i="13"/>
  <c r="Z28" i="13"/>
  <c r="AA28" i="13"/>
  <c r="AB28" i="13"/>
  <c r="Y29" i="13"/>
  <c r="Z29" i="13"/>
  <c r="AA29" i="13"/>
  <c r="AB29" i="13"/>
  <c r="AB24" i="13"/>
  <c r="AA24" i="13"/>
  <c r="AH24" i="13" s="1"/>
  <c r="Y24" i="13"/>
  <c r="Z24" i="13"/>
  <c r="Y11" i="13"/>
  <c r="Z11" i="13"/>
  <c r="Y12" i="13"/>
  <c r="Z12" i="13"/>
  <c r="F12" i="13" s="1"/>
  <c r="Y13" i="13"/>
  <c r="Z13" i="13"/>
  <c r="Y14" i="13"/>
  <c r="Z14" i="13"/>
  <c r="F14" i="13" s="1"/>
  <c r="Y15" i="13"/>
  <c r="Z15" i="13"/>
  <c r="Y16" i="13"/>
  <c r="Z16" i="13"/>
  <c r="F16" i="13" s="1"/>
  <c r="Y17" i="13"/>
  <c r="Z17" i="13"/>
  <c r="Y18" i="13"/>
  <c r="Z18" i="13"/>
  <c r="F18" i="13" s="1"/>
  <c r="Y19" i="13"/>
  <c r="Z19" i="13"/>
  <c r="F19" i="13" s="1"/>
  <c r="Y20" i="13"/>
  <c r="Z20" i="13"/>
  <c r="F20" i="13" s="1"/>
  <c r="Y21" i="13"/>
  <c r="Z21" i="13"/>
  <c r="Y22" i="13"/>
  <c r="Z22" i="13"/>
  <c r="F22" i="13" s="1"/>
  <c r="Y23" i="13"/>
  <c r="Z23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Z3" i="13"/>
  <c r="F3" i="13" s="1"/>
  <c r="Z4" i="13"/>
  <c r="F4" i="13" s="1"/>
  <c r="Z5" i="13"/>
  <c r="F5" i="13" s="1"/>
  <c r="Z6" i="13"/>
  <c r="F6" i="13" s="1"/>
  <c r="Z7" i="13"/>
  <c r="Z8" i="13"/>
  <c r="Z9" i="13"/>
  <c r="F9" i="13" s="1"/>
  <c r="Z10" i="13"/>
  <c r="F10" i="13" s="1"/>
  <c r="Z2" i="13"/>
  <c r="F2" i="13" s="1"/>
  <c r="AB2" i="13"/>
  <c r="AB3" i="13"/>
  <c r="AB4" i="13"/>
  <c r="AB5" i="13"/>
  <c r="AB6" i="13"/>
  <c r="AB7" i="13"/>
  <c r="AB8" i="13"/>
  <c r="AB9" i="13"/>
  <c r="AB10" i="13"/>
  <c r="AA3" i="13"/>
  <c r="AA4" i="13"/>
  <c r="AG4" i="13" s="1"/>
  <c r="K4" i="13" s="1"/>
  <c r="AA5" i="13"/>
  <c r="AA6" i="13"/>
  <c r="AA7" i="13"/>
  <c r="AA8" i="13"/>
  <c r="AA9" i="13"/>
  <c r="AA10" i="13"/>
  <c r="AA2" i="13"/>
  <c r="Y2" i="13"/>
  <c r="Y3" i="13"/>
  <c r="Y4" i="13"/>
  <c r="Y5" i="13"/>
  <c r="Y6" i="13"/>
  <c r="Y7" i="13"/>
  <c r="Y8" i="13"/>
  <c r="Y9" i="13"/>
  <c r="Y10" i="13"/>
  <c r="AK5" i="13"/>
  <c r="AK6" i="13" s="1"/>
  <c r="Y196" i="12"/>
  <c r="Y197" i="12"/>
  <c r="Y198" i="12"/>
  <c r="Y195" i="12"/>
  <c r="Y172" i="12"/>
  <c r="Y173" i="12"/>
  <c r="Y174" i="12"/>
  <c r="Y175" i="12"/>
  <c r="Y176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09" i="12"/>
  <c r="AD98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6" i="12"/>
  <c r="V177" i="12"/>
  <c r="V178" i="12"/>
  <c r="V179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G101" i="12"/>
  <c r="G102" i="12"/>
  <c r="O102" i="12" s="1"/>
  <c r="G103" i="12"/>
  <c r="G104" i="12"/>
  <c r="Q104" i="12" s="1"/>
  <c r="G105" i="12"/>
  <c r="S105" i="12" s="1"/>
  <c r="G106" i="12"/>
  <c r="G107" i="12"/>
  <c r="G108" i="12"/>
  <c r="M108" i="12" s="1"/>
  <c r="G109" i="12"/>
  <c r="G110" i="12"/>
  <c r="R110" i="12" s="1"/>
  <c r="G111" i="12"/>
  <c r="G112" i="12"/>
  <c r="O112" i="12" s="1"/>
  <c r="G113" i="12"/>
  <c r="G114" i="12"/>
  <c r="G115" i="12"/>
  <c r="Q115" i="12" s="1"/>
  <c r="G116" i="12"/>
  <c r="G117" i="12"/>
  <c r="G118" i="12"/>
  <c r="G119" i="12"/>
  <c r="G120" i="12"/>
  <c r="P120" i="12" s="1"/>
  <c r="G121" i="12"/>
  <c r="G122" i="12"/>
  <c r="G123" i="12"/>
  <c r="G124" i="12"/>
  <c r="Q124" i="12" s="1"/>
  <c r="G125" i="12"/>
  <c r="G126" i="12"/>
  <c r="I126" i="12" s="1"/>
  <c r="G127" i="12"/>
  <c r="G128" i="12"/>
  <c r="M128" i="12" s="1"/>
  <c r="G129" i="12"/>
  <c r="G130" i="12"/>
  <c r="W130" i="12" s="1"/>
  <c r="G131" i="12"/>
  <c r="G132" i="12"/>
  <c r="P132" i="12" s="1"/>
  <c r="G133" i="12"/>
  <c r="S133" i="12" s="1"/>
  <c r="G134" i="12"/>
  <c r="G135" i="12"/>
  <c r="P135" i="12" s="1"/>
  <c r="G136" i="12"/>
  <c r="G137" i="12"/>
  <c r="G138" i="12"/>
  <c r="G139" i="12"/>
  <c r="G140" i="12"/>
  <c r="N140" i="12" s="1"/>
  <c r="G141" i="12"/>
  <c r="G142" i="12"/>
  <c r="G143" i="12"/>
  <c r="P143" i="12" s="1"/>
  <c r="G144" i="12"/>
  <c r="M144" i="12" s="1"/>
  <c r="G145" i="12"/>
  <c r="G146" i="12"/>
  <c r="G147" i="12"/>
  <c r="G148" i="12"/>
  <c r="O148" i="12" s="1"/>
  <c r="G149" i="12"/>
  <c r="G150" i="12"/>
  <c r="G151" i="12"/>
  <c r="G152" i="12"/>
  <c r="G153" i="12"/>
  <c r="S153" i="12" s="1"/>
  <c r="G154" i="12"/>
  <c r="R154" i="12" s="1"/>
  <c r="G155" i="12"/>
  <c r="N155" i="12" s="1"/>
  <c r="G156" i="12"/>
  <c r="S156" i="12" s="1"/>
  <c r="G157" i="12"/>
  <c r="R157" i="12" s="1"/>
  <c r="G158" i="12"/>
  <c r="G159" i="12"/>
  <c r="G160" i="12"/>
  <c r="G161" i="12"/>
  <c r="G162" i="12"/>
  <c r="R162" i="12" s="1"/>
  <c r="G163" i="12"/>
  <c r="G164" i="12"/>
  <c r="G165" i="12"/>
  <c r="G166" i="12"/>
  <c r="G167" i="12"/>
  <c r="P167" i="12" s="1"/>
  <c r="G168" i="12"/>
  <c r="G169" i="12"/>
  <c r="G170" i="12"/>
  <c r="G171" i="12"/>
  <c r="W171" i="12" s="1"/>
  <c r="G177" i="12"/>
  <c r="G178" i="12"/>
  <c r="S178" i="12" s="1"/>
  <c r="G179" i="12"/>
  <c r="P179" i="12" s="1"/>
  <c r="G180" i="12"/>
  <c r="G181" i="12"/>
  <c r="P181" i="12" s="1"/>
  <c r="G182" i="12"/>
  <c r="S182" i="12" s="1"/>
  <c r="G183" i="12"/>
  <c r="G184" i="12"/>
  <c r="G185" i="12"/>
  <c r="N185" i="12" s="1"/>
  <c r="G186" i="12"/>
  <c r="Q186" i="12" s="1"/>
  <c r="G187" i="12"/>
  <c r="G188" i="12"/>
  <c r="I188" i="12" s="1"/>
  <c r="G189" i="12"/>
  <c r="G190" i="12"/>
  <c r="G191" i="12"/>
  <c r="G192" i="12"/>
  <c r="G193" i="12"/>
  <c r="G194" i="12"/>
  <c r="AG101" i="12"/>
  <c r="K101" i="12" s="1"/>
  <c r="AG102" i="12"/>
  <c r="K102" i="12" s="1"/>
  <c r="AG103" i="12"/>
  <c r="K103" i="12" s="1"/>
  <c r="AG104" i="12"/>
  <c r="K104" i="12" s="1"/>
  <c r="AG105" i="12"/>
  <c r="K105" i="12" s="1"/>
  <c r="AG106" i="12"/>
  <c r="K106" i="12" s="1"/>
  <c r="AG107" i="12"/>
  <c r="K107" i="12" s="1"/>
  <c r="AG108" i="12"/>
  <c r="K108" i="12" s="1"/>
  <c r="AG109" i="12"/>
  <c r="K109" i="12" s="1"/>
  <c r="AG110" i="12"/>
  <c r="K110" i="12" s="1"/>
  <c r="AG111" i="12"/>
  <c r="K111" i="12" s="1"/>
  <c r="AG112" i="12"/>
  <c r="K112" i="12" s="1"/>
  <c r="AG113" i="12"/>
  <c r="K113" i="12" s="1"/>
  <c r="AG114" i="12"/>
  <c r="K114" i="12" s="1"/>
  <c r="AG115" i="12"/>
  <c r="K115" i="12" s="1"/>
  <c r="AG116" i="12"/>
  <c r="K116" i="12" s="1"/>
  <c r="AG117" i="12"/>
  <c r="K117" i="12" s="1"/>
  <c r="AG118" i="12"/>
  <c r="K118" i="12" s="1"/>
  <c r="AG119" i="12"/>
  <c r="K119" i="12" s="1"/>
  <c r="AG120" i="12"/>
  <c r="K120" i="12" s="1"/>
  <c r="AG121" i="12"/>
  <c r="K121" i="12" s="1"/>
  <c r="AG122" i="12"/>
  <c r="K122" i="12" s="1"/>
  <c r="AG123" i="12"/>
  <c r="K123" i="12" s="1"/>
  <c r="AG124" i="12"/>
  <c r="K124" i="12" s="1"/>
  <c r="AG125" i="12"/>
  <c r="K125" i="12" s="1"/>
  <c r="AG126" i="12"/>
  <c r="K126" i="12" s="1"/>
  <c r="AG127" i="12"/>
  <c r="K127" i="12" s="1"/>
  <c r="AG128" i="12"/>
  <c r="K128" i="12" s="1"/>
  <c r="AG129" i="12"/>
  <c r="K129" i="12" s="1"/>
  <c r="AG130" i="12"/>
  <c r="K130" i="12" s="1"/>
  <c r="AG131" i="12"/>
  <c r="K131" i="12" s="1"/>
  <c r="AG132" i="12"/>
  <c r="K132" i="12" s="1"/>
  <c r="AG133" i="12"/>
  <c r="K133" i="12" s="1"/>
  <c r="AG134" i="12"/>
  <c r="K134" i="12" s="1"/>
  <c r="AG135" i="12"/>
  <c r="K135" i="12" s="1"/>
  <c r="AG136" i="12"/>
  <c r="K136" i="12" s="1"/>
  <c r="AG137" i="12"/>
  <c r="K137" i="12" s="1"/>
  <c r="AG138" i="12"/>
  <c r="K138" i="12" s="1"/>
  <c r="AG139" i="12"/>
  <c r="K139" i="12" s="1"/>
  <c r="AG140" i="12"/>
  <c r="K140" i="12" s="1"/>
  <c r="AG141" i="12"/>
  <c r="K141" i="12" s="1"/>
  <c r="AG142" i="12"/>
  <c r="K142" i="12" s="1"/>
  <c r="AG143" i="12"/>
  <c r="K143" i="12" s="1"/>
  <c r="AG144" i="12"/>
  <c r="K144" i="12" s="1"/>
  <c r="AG145" i="12"/>
  <c r="K145" i="12" s="1"/>
  <c r="AG146" i="12"/>
  <c r="K146" i="12" s="1"/>
  <c r="AG147" i="12"/>
  <c r="K147" i="12" s="1"/>
  <c r="AG148" i="12"/>
  <c r="K148" i="12" s="1"/>
  <c r="AG149" i="12"/>
  <c r="K149" i="12" s="1"/>
  <c r="AG150" i="12"/>
  <c r="K150" i="12" s="1"/>
  <c r="AG151" i="12"/>
  <c r="K151" i="12" s="1"/>
  <c r="AG152" i="12"/>
  <c r="K152" i="12" s="1"/>
  <c r="AG153" i="12"/>
  <c r="K153" i="12" s="1"/>
  <c r="AG154" i="12"/>
  <c r="K154" i="12" s="1"/>
  <c r="AG155" i="12"/>
  <c r="K155" i="12" s="1"/>
  <c r="AG156" i="12"/>
  <c r="K156" i="12" s="1"/>
  <c r="AG157" i="12"/>
  <c r="K157" i="12" s="1"/>
  <c r="AG158" i="12"/>
  <c r="K158" i="12" s="1"/>
  <c r="AG159" i="12"/>
  <c r="K159" i="12" s="1"/>
  <c r="AG160" i="12"/>
  <c r="K160" i="12" s="1"/>
  <c r="AG161" i="12"/>
  <c r="K161" i="12" s="1"/>
  <c r="AG162" i="12"/>
  <c r="K162" i="12" s="1"/>
  <c r="AG163" i="12"/>
  <c r="K163" i="12" s="1"/>
  <c r="AG164" i="12"/>
  <c r="K164" i="12" s="1"/>
  <c r="AG165" i="12"/>
  <c r="K165" i="12" s="1"/>
  <c r="AG166" i="12"/>
  <c r="K166" i="12" s="1"/>
  <c r="AG167" i="12"/>
  <c r="K167" i="12" s="1"/>
  <c r="AG168" i="12"/>
  <c r="K168" i="12" s="1"/>
  <c r="AG169" i="12"/>
  <c r="K169" i="12" s="1"/>
  <c r="AG170" i="12"/>
  <c r="K170" i="12" s="1"/>
  <c r="AG171" i="12"/>
  <c r="K171" i="12" s="1"/>
  <c r="AG172" i="12"/>
  <c r="K172" i="12" s="1"/>
  <c r="AG173" i="12"/>
  <c r="K173" i="12" s="1"/>
  <c r="AG174" i="12"/>
  <c r="K174" i="12" s="1"/>
  <c r="AG175" i="12"/>
  <c r="K175" i="12" s="1"/>
  <c r="AG176" i="12"/>
  <c r="K176" i="12" s="1"/>
  <c r="AG177" i="12"/>
  <c r="K177" i="12" s="1"/>
  <c r="AG178" i="12"/>
  <c r="K178" i="12" s="1"/>
  <c r="AG179" i="12"/>
  <c r="K179" i="12" s="1"/>
  <c r="AG180" i="12"/>
  <c r="K180" i="12" s="1"/>
  <c r="AG181" i="12"/>
  <c r="K181" i="12" s="1"/>
  <c r="AG182" i="12"/>
  <c r="K182" i="12" s="1"/>
  <c r="AG183" i="12"/>
  <c r="K183" i="12" s="1"/>
  <c r="AG184" i="12"/>
  <c r="K184" i="12" s="1"/>
  <c r="AG185" i="12"/>
  <c r="K185" i="12" s="1"/>
  <c r="AG186" i="12"/>
  <c r="K186" i="12" s="1"/>
  <c r="AG187" i="12"/>
  <c r="K187" i="12" s="1"/>
  <c r="AG188" i="12"/>
  <c r="K188" i="12" s="1"/>
  <c r="AG189" i="12"/>
  <c r="K189" i="12" s="1"/>
  <c r="AG190" i="12"/>
  <c r="K190" i="12" s="1"/>
  <c r="AG191" i="12"/>
  <c r="K191" i="12" s="1"/>
  <c r="AG192" i="12"/>
  <c r="K192" i="12" s="1"/>
  <c r="AG193" i="12"/>
  <c r="K193" i="12" s="1"/>
  <c r="AG194" i="12"/>
  <c r="K194" i="12" s="1"/>
  <c r="AG195" i="12"/>
  <c r="K195" i="12" s="1"/>
  <c r="AG196" i="12"/>
  <c r="K196" i="12" s="1"/>
  <c r="AG197" i="12"/>
  <c r="K197" i="12" s="1"/>
  <c r="AG198" i="12"/>
  <c r="K198" i="12" s="1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L91" i="12"/>
  <c r="L92" i="12"/>
  <c r="L93" i="12"/>
  <c r="L94" i="12"/>
  <c r="L95" i="12"/>
  <c r="L96" i="12"/>
  <c r="L97" i="12"/>
  <c r="L98" i="12"/>
  <c r="L99" i="12"/>
  <c r="L100" i="12"/>
  <c r="V91" i="12"/>
  <c r="V92" i="12"/>
  <c r="V93" i="12"/>
  <c r="V94" i="12"/>
  <c r="V95" i="12"/>
  <c r="V96" i="12"/>
  <c r="V97" i="12"/>
  <c r="V98" i="12"/>
  <c r="V99" i="12"/>
  <c r="V100" i="12"/>
  <c r="G91" i="12"/>
  <c r="G92" i="12"/>
  <c r="G93" i="12"/>
  <c r="G94" i="12"/>
  <c r="G95" i="12"/>
  <c r="W95" i="12" s="1"/>
  <c r="G96" i="12"/>
  <c r="G97" i="12"/>
  <c r="G98" i="12"/>
  <c r="G99" i="12"/>
  <c r="G100" i="12"/>
  <c r="AG91" i="12"/>
  <c r="K91" i="12" s="1"/>
  <c r="AG92" i="12"/>
  <c r="K92" i="12" s="1"/>
  <c r="AG93" i="12"/>
  <c r="K93" i="12" s="1"/>
  <c r="AG94" i="12"/>
  <c r="K94" i="12" s="1"/>
  <c r="AG95" i="12"/>
  <c r="K95" i="12" s="1"/>
  <c r="AG96" i="12"/>
  <c r="K96" i="12" s="1"/>
  <c r="AG97" i="12"/>
  <c r="K97" i="12" s="1"/>
  <c r="AG98" i="12"/>
  <c r="K98" i="12" s="1"/>
  <c r="AG99" i="12"/>
  <c r="K99" i="12" s="1"/>
  <c r="AG100" i="12"/>
  <c r="K100" i="12" s="1"/>
  <c r="AH91" i="12"/>
  <c r="AH92" i="12"/>
  <c r="AH93" i="12"/>
  <c r="AH94" i="12"/>
  <c r="AH95" i="12"/>
  <c r="AH96" i="12"/>
  <c r="AH97" i="12"/>
  <c r="AH98" i="12"/>
  <c r="AH99" i="12"/>
  <c r="AH100" i="12"/>
  <c r="L90" i="12"/>
  <c r="V90" i="12"/>
  <c r="G90" i="12"/>
  <c r="AG90" i="12"/>
  <c r="K90" i="12" s="1"/>
  <c r="AH90" i="12"/>
  <c r="AD84" i="12"/>
  <c r="AD85" i="12"/>
  <c r="AD86" i="12"/>
  <c r="AD87" i="12"/>
  <c r="AD88" i="12"/>
  <c r="AD89" i="12"/>
  <c r="G84" i="12"/>
  <c r="O84" i="12" s="1"/>
  <c r="G85" i="12"/>
  <c r="G86" i="12"/>
  <c r="R86" i="12" s="1"/>
  <c r="G87" i="12"/>
  <c r="P87" i="12" s="1"/>
  <c r="G88" i="12"/>
  <c r="R88" i="12" s="1"/>
  <c r="G89" i="12"/>
  <c r="W89" i="12" s="1"/>
  <c r="AD78" i="12"/>
  <c r="AD79" i="12"/>
  <c r="AD80" i="12"/>
  <c r="AD81" i="12"/>
  <c r="AD82" i="12"/>
  <c r="AD83" i="12"/>
  <c r="AD72" i="12"/>
  <c r="AD73" i="12"/>
  <c r="AD74" i="12"/>
  <c r="AD75" i="12"/>
  <c r="AD76" i="12"/>
  <c r="AD77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43" i="12"/>
  <c r="V44" i="12"/>
  <c r="V45" i="12"/>
  <c r="V46" i="12"/>
  <c r="V47" i="12"/>
  <c r="V48" i="12"/>
  <c r="V49" i="12"/>
  <c r="V50" i="12"/>
  <c r="V51" i="12"/>
  <c r="V52" i="12"/>
  <c r="V53" i="12"/>
  <c r="V54" i="12"/>
  <c r="V55" i="12"/>
  <c r="V56" i="12"/>
  <c r="V57" i="12"/>
  <c r="V58" i="12"/>
  <c r="V59" i="12"/>
  <c r="V60" i="12"/>
  <c r="V61" i="12"/>
  <c r="V62" i="12"/>
  <c r="V63" i="12"/>
  <c r="V64" i="12"/>
  <c r="V65" i="12"/>
  <c r="V66" i="12"/>
  <c r="V67" i="12"/>
  <c r="V68" i="12"/>
  <c r="V69" i="12"/>
  <c r="V70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AD66" i="12"/>
  <c r="AD67" i="12"/>
  <c r="AD68" i="12"/>
  <c r="AD69" i="12"/>
  <c r="AD70" i="12"/>
  <c r="AD71" i="12"/>
  <c r="G66" i="12"/>
  <c r="S66" i="12" s="1"/>
  <c r="G67" i="12"/>
  <c r="U67" i="12" s="1"/>
  <c r="G68" i="12"/>
  <c r="M68" i="12" s="1"/>
  <c r="G69" i="12"/>
  <c r="N69" i="12" s="1"/>
  <c r="G70" i="12"/>
  <c r="Q70" i="12" s="1"/>
  <c r="G71" i="12"/>
  <c r="G72" i="12"/>
  <c r="S72" i="12" s="1"/>
  <c r="G73" i="12"/>
  <c r="Q73" i="12" s="1"/>
  <c r="G74" i="12"/>
  <c r="S74" i="12" s="1"/>
  <c r="G75" i="12"/>
  <c r="M75" i="12" s="1"/>
  <c r="G76" i="12"/>
  <c r="O76" i="12" s="1"/>
  <c r="G77" i="12"/>
  <c r="N77" i="12" s="1"/>
  <c r="G78" i="12"/>
  <c r="Q78" i="12" s="1"/>
  <c r="G79" i="12"/>
  <c r="S79" i="12" s="1"/>
  <c r="G80" i="12"/>
  <c r="S80" i="12" s="1"/>
  <c r="G81" i="12"/>
  <c r="G82" i="12"/>
  <c r="N82" i="12" s="1"/>
  <c r="G83" i="12"/>
  <c r="O83" i="12" s="1"/>
  <c r="AD61" i="12"/>
  <c r="AD62" i="12"/>
  <c r="AD63" i="12"/>
  <c r="AD64" i="12"/>
  <c r="AD65" i="12"/>
  <c r="AD55" i="12"/>
  <c r="AD56" i="12"/>
  <c r="AD57" i="12"/>
  <c r="AD58" i="12"/>
  <c r="AD59" i="12"/>
  <c r="AD60" i="12"/>
  <c r="AD54" i="12"/>
  <c r="AD49" i="12"/>
  <c r="AD50" i="12"/>
  <c r="AD51" i="12"/>
  <c r="AD52" i="12"/>
  <c r="AD53" i="12"/>
  <c r="AD42" i="12"/>
  <c r="AD43" i="12"/>
  <c r="AD44" i="12"/>
  <c r="AD45" i="12"/>
  <c r="AD46" i="12"/>
  <c r="AD47" i="12"/>
  <c r="AD48" i="12"/>
  <c r="G45" i="12"/>
  <c r="N45" i="12" s="1"/>
  <c r="G46" i="12"/>
  <c r="Q46" i="12" s="1"/>
  <c r="G47" i="12"/>
  <c r="N47" i="12" s="1"/>
  <c r="G48" i="12"/>
  <c r="W48" i="12" s="1"/>
  <c r="G42" i="12"/>
  <c r="Q42" i="12" s="1"/>
  <c r="G43" i="12"/>
  <c r="O43" i="12" s="1"/>
  <c r="G44" i="12"/>
  <c r="P44" i="12" s="1"/>
  <c r="G49" i="12"/>
  <c r="O49" i="12" s="1"/>
  <c r="G50" i="12"/>
  <c r="U50" i="12" s="1"/>
  <c r="G51" i="12"/>
  <c r="U51" i="12" s="1"/>
  <c r="G52" i="12"/>
  <c r="M52" i="12" s="1"/>
  <c r="G53" i="12"/>
  <c r="G54" i="12"/>
  <c r="R54" i="12" s="1"/>
  <c r="G55" i="12"/>
  <c r="S55" i="12" s="1"/>
  <c r="G56" i="12"/>
  <c r="S56" i="12" s="1"/>
  <c r="G57" i="12"/>
  <c r="M57" i="12" s="1"/>
  <c r="G58" i="12"/>
  <c r="U58" i="12" s="1"/>
  <c r="G59" i="12"/>
  <c r="U59" i="12" s="1"/>
  <c r="G60" i="12"/>
  <c r="W60" i="12" s="1"/>
  <c r="G61" i="12"/>
  <c r="P61" i="12" s="1"/>
  <c r="G62" i="12"/>
  <c r="R62" i="12" s="1"/>
  <c r="G63" i="12"/>
  <c r="R63" i="12" s="1"/>
  <c r="G64" i="12"/>
  <c r="Q64" i="12" s="1"/>
  <c r="G65" i="12"/>
  <c r="W65" i="12" s="1"/>
  <c r="AD39" i="12"/>
  <c r="AD35" i="12"/>
  <c r="AD36" i="12"/>
  <c r="AD37" i="12"/>
  <c r="AD38" i="12"/>
  <c r="AD40" i="12"/>
  <c r="AD41" i="12"/>
  <c r="Y35" i="12"/>
  <c r="Y36" i="12"/>
  <c r="Y37" i="12"/>
  <c r="Y38" i="12"/>
  <c r="Y39" i="12"/>
  <c r="Y40" i="12"/>
  <c r="Y41" i="12"/>
  <c r="AD29" i="12"/>
  <c r="AD30" i="12"/>
  <c r="AD31" i="12"/>
  <c r="AD32" i="12"/>
  <c r="AD33" i="12"/>
  <c r="AD34" i="12"/>
  <c r="Y29" i="12"/>
  <c r="Y30" i="12"/>
  <c r="Y31" i="12"/>
  <c r="Y32" i="12"/>
  <c r="Y33" i="12"/>
  <c r="Y34" i="12"/>
  <c r="Y22" i="12"/>
  <c r="Y23" i="12"/>
  <c r="Y24" i="12"/>
  <c r="Y25" i="12"/>
  <c r="Y26" i="12"/>
  <c r="Y27" i="12"/>
  <c r="Y28" i="12"/>
  <c r="AD22" i="12"/>
  <c r="AD23" i="12"/>
  <c r="AD24" i="12"/>
  <c r="AD25" i="12"/>
  <c r="AD26" i="12"/>
  <c r="AD27" i="12"/>
  <c r="AD28" i="12"/>
  <c r="AD16" i="12"/>
  <c r="AD17" i="12"/>
  <c r="AD18" i="12"/>
  <c r="AD19" i="12"/>
  <c r="AD20" i="12"/>
  <c r="AD21" i="12"/>
  <c r="Y16" i="12"/>
  <c r="Y17" i="12"/>
  <c r="Y18" i="12"/>
  <c r="Y19" i="12"/>
  <c r="Y20" i="12"/>
  <c r="Y21" i="12"/>
  <c r="Y14" i="12"/>
  <c r="Y6" i="12"/>
  <c r="Y11" i="12"/>
  <c r="Y10" i="12"/>
  <c r="Y12" i="12"/>
  <c r="Y13" i="12"/>
  <c r="Y15" i="12"/>
  <c r="Y9" i="12"/>
  <c r="AD3" i="12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2" i="12"/>
  <c r="AH2" i="12"/>
  <c r="Y7" i="12"/>
  <c r="Y8" i="12"/>
  <c r="Y2" i="12"/>
  <c r="Y3" i="12"/>
  <c r="Y4" i="12"/>
  <c r="Y5" i="12"/>
  <c r="AH89" i="12"/>
  <c r="AG89" i="12"/>
  <c r="K89" i="12" s="1"/>
  <c r="AH88" i="12"/>
  <c r="AG88" i="12"/>
  <c r="K88" i="12" s="1"/>
  <c r="AH87" i="12"/>
  <c r="AG87" i="12"/>
  <c r="K87" i="12" s="1"/>
  <c r="AH86" i="12"/>
  <c r="AG86" i="12"/>
  <c r="K86" i="12" s="1"/>
  <c r="AH85" i="12"/>
  <c r="AG85" i="12"/>
  <c r="K85" i="12" s="1"/>
  <c r="AH84" i="12"/>
  <c r="AG84" i="12"/>
  <c r="K84" i="12" s="1"/>
  <c r="AH83" i="12"/>
  <c r="AG83" i="12"/>
  <c r="K83" i="12" s="1"/>
  <c r="AH82" i="12"/>
  <c r="AG82" i="12"/>
  <c r="K82" i="12" s="1"/>
  <c r="AH81" i="12"/>
  <c r="AG81" i="12"/>
  <c r="K81" i="12" s="1"/>
  <c r="AH80" i="12"/>
  <c r="AG80" i="12"/>
  <c r="K80" i="12" s="1"/>
  <c r="AH79" i="12"/>
  <c r="AG79" i="12"/>
  <c r="K79" i="12" s="1"/>
  <c r="AH78" i="12"/>
  <c r="AG78" i="12"/>
  <c r="K78" i="12" s="1"/>
  <c r="AH77" i="12"/>
  <c r="AG77" i="12"/>
  <c r="K77" i="12" s="1"/>
  <c r="AH76" i="12"/>
  <c r="AG76" i="12"/>
  <c r="K76" i="12" s="1"/>
  <c r="AH75" i="12"/>
  <c r="AG75" i="12"/>
  <c r="K75" i="12" s="1"/>
  <c r="AH74" i="12"/>
  <c r="AG74" i="12"/>
  <c r="K74" i="12" s="1"/>
  <c r="AH73" i="12"/>
  <c r="AG73" i="12"/>
  <c r="K73" i="12" s="1"/>
  <c r="AH72" i="12"/>
  <c r="AG72" i="12"/>
  <c r="K72" i="12" s="1"/>
  <c r="AH71" i="12"/>
  <c r="AG71" i="12"/>
  <c r="K71" i="12" s="1"/>
  <c r="AH70" i="12"/>
  <c r="AG70" i="12"/>
  <c r="K70" i="12" s="1"/>
  <c r="AH69" i="12"/>
  <c r="AG69" i="12"/>
  <c r="K69" i="12" s="1"/>
  <c r="AH68" i="12"/>
  <c r="AG68" i="12"/>
  <c r="K68" i="12" s="1"/>
  <c r="AH67" i="12"/>
  <c r="AG67" i="12"/>
  <c r="K67" i="12" s="1"/>
  <c r="AH66" i="12"/>
  <c r="AG66" i="12"/>
  <c r="K66" i="12" s="1"/>
  <c r="AH65" i="12"/>
  <c r="AG65" i="12"/>
  <c r="K65" i="12" s="1"/>
  <c r="AH64" i="12"/>
  <c r="AG64" i="12"/>
  <c r="K64" i="12" s="1"/>
  <c r="AH63" i="12"/>
  <c r="AG63" i="12"/>
  <c r="K63" i="12" s="1"/>
  <c r="AH62" i="12"/>
  <c r="AG62" i="12"/>
  <c r="K62" i="12" s="1"/>
  <c r="AH61" i="12"/>
  <c r="AG61" i="12"/>
  <c r="K61" i="12" s="1"/>
  <c r="AH60" i="12"/>
  <c r="AG60" i="12"/>
  <c r="K60" i="12" s="1"/>
  <c r="AH59" i="12"/>
  <c r="AG59" i="12"/>
  <c r="K59" i="12" s="1"/>
  <c r="AH58" i="12"/>
  <c r="AG58" i="12"/>
  <c r="K58" i="12" s="1"/>
  <c r="AH57" i="12"/>
  <c r="AG57" i="12"/>
  <c r="K57" i="12" s="1"/>
  <c r="AH56" i="12"/>
  <c r="AG56" i="12"/>
  <c r="K56" i="12" s="1"/>
  <c r="AH55" i="12"/>
  <c r="AG55" i="12"/>
  <c r="K55" i="12" s="1"/>
  <c r="AH54" i="12"/>
  <c r="AG54" i="12"/>
  <c r="K54" i="12" s="1"/>
  <c r="AH53" i="12"/>
  <c r="AG53" i="12"/>
  <c r="K53" i="12" s="1"/>
  <c r="AH52" i="12"/>
  <c r="AG52" i="12"/>
  <c r="K52" i="12" s="1"/>
  <c r="AH51" i="12"/>
  <c r="AG51" i="12"/>
  <c r="K51" i="12" s="1"/>
  <c r="AH50" i="12"/>
  <c r="AG50" i="12"/>
  <c r="K50" i="12" s="1"/>
  <c r="AH49" i="12"/>
  <c r="AG49" i="12"/>
  <c r="K49" i="12" s="1"/>
  <c r="AH48" i="12"/>
  <c r="AG48" i="12"/>
  <c r="K48" i="12" s="1"/>
  <c r="AH47" i="12"/>
  <c r="AG47" i="12"/>
  <c r="K47" i="12" s="1"/>
  <c r="AH46" i="12"/>
  <c r="AG46" i="12"/>
  <c r="K46" i="12" s="1"/>
  <c r="AH45" i="12"/>
  <c r="AG45" i="12"/>
  <c r="K45" i="12" s="1"/>
  <c r="AH44" i="12"/>
  <c r="AG44" i="12"/>
  <c r="K44" i="12" s="1"/>
  <c r="AH43" i="12"/>
  <c r="AG43" i="12"/>
  <c r="K43" i="12" s="1"/>
  <c r="AH42" i="12"/>
  <c r="AG42" i="12"/>
  <c r="K42" i="12" s="1"/>
  <c r="AH41" i="12"/>
  <c r="AG41" i="12"/>
  <c r="K41" i="12" s="1"/>
  <c r="AH40" i="12"/>
  <c r="AG40" i="12"/>
  <c r="K40" i="12" s="1"/>
  <c r="AH39" i="12"/>
  <c r="AG39" i="12"/>
  <c r="K39" i="12" s="1"/>
  <c r="AH38" i="12"/>
  <c r="AG38" i="12"/>
  <c r="K38" i="12" s="1"/>
  <c r="AH37" i="12"/>
  <c r="AG37" i="12"/>
  <c r="K37" i="12" s="1"/>
  <c r="AH36" i="12"/>
  <c r="AG36" i="12"/>
  <c r="K36" i="12" s="1"/>
  <c r="AH35" i="12"/>
  <c r="AG35" i="12"/>
  <c r="K35" i="12" s="1"/>
  <c r="AH34" i="12"/>
  <c r="AG34" i="12"/>
  <c r="K34" i="12" s="1"/>
  <c r="AH33" i="12"/>
  <c r="AG33" i="12"/>
  <c r="K33" i="12" s="1"/>
  <c r="AH32" i="12"/>
  <c r="AG32" i="12"/>
  <c r="K32" i="12" s="1"/>
  <c r="AH31" i="12"/>
  <c r="AG31" i="12"/>
  <c r="K31" i="12" s="1"/>
  <c r="AH30" i="12"/>
  <c r="AG30" i="12"/>
  <c r="K30" i="12" s="1"/>
  <c r="AH29" i="12"/>
  <c r="AG29" i="12"/>
  <c r="K29" i="12" s="1"/>
  <c r="AH28" i="12"/>
  <c r="AG28" i="12"/>
  <c r="K28" i="12" s="1"/>
  <c r="AH27" i="12"/>
  <c r="AG27" i="12"/>
  <c r="K27" i="12" s="1"/>
  <c r="AH26" i="12"/>
  <c r="AG26" i="12"/>
  <c r="K26" i="12" s="1"/>
  <c r="AH25" i="12"/>
  <c r="AG25" i="12"/>
  <c r="K25" i="12" s="1"/>
  <c r="AH24" i="12"/>
  <c r="AG24" i="12"/>
  <c r="K24" i="12" s="1"/>
  <c r="AH23" i="12"/>
  <c r="AG23" i="12"/>
  <c r="K23" i="12" s="1"/>
  <c r="AH22" i="12"/>
  <c r="AG22" i="12"/>
  <c r="K22" i="12" s="1"/>
  <c r="AH21" i="12"/>
  <c r="AG21" i="12"/>
  <c r="K21" i="12" s="1"/>
  <c r="AH20" i="12"/>
  <c r="AG20" i="12"/>
  <c r="K20" i="12" s="1"/>
  <c r="AH19" i="12"/>
  <c r="AG19" i="12"/>
  <c r="K19" i="12" s="1"/>
  <c r="AH18" i="12"/>
  <c r="AG18" i="12"/>
  <c r="K18" i="12" s="1"/>
  <c r="AH17" i="12"/>
  <c r="AG17" i="12"/>
  <c r="K17" i="12" s="1"/>
  <c r="AH16" i="12"/>
  <c r="AG16" i="12"/>
  <c r="K16" i="12" s="1"/>
  <c r="AH15" i="12"/>
  <c r="AG15" i="12"/>
  <c r="K15" i="12" s="1"/>
  <c r="AH14" i="12"/>
  <c r="AG14" i="12"/>
  <c r="K14" i="12" s="1"/>
  <c r="AH13" i="12"/>
  <c r="AG13" i="12"/>
  <c r="K13" i="12" s="1"/>
  <c r="AH12" i="12"/>
  <c r="AG12" i="12"/>
  <c r="K12" i="12" s="1"/>
  <c r="AH11" i="12"/>
  <c r="AG11" i="12"/>
  <c r="K11" i="12" s="1"/>
  <c r="AH10" i="12"/>
  <c r="AG10" i="12"/>
  <c r="K10" i="12" s="1"/>
  <c r="AH9" i="12"/>
  <c r="AG9" i="12"/>
  <c r="K9" i="12" s="1"/>
  <c r="AH8" i="12"/>
  <c r="AG8" i="12"/>
  <c r="K8" i="12" s="1"/>
  <c r="AH7" i="12"/>
  <c r="AG7" i="12"/>
  <c r="K7" i="12" s="1"/>
  <c r="AH6" i="12"/>
  <c r="AG6" i="12"/>
  <c r="K6" i="12" s="1"/>
  <c r="AL5" i="12"/>
  <c r="AH5" i="12"/>
  <c r="AG5" i="12"/>
  <c r="K5" i="12" s="1"/>
  <c r="AH4" i="12"/>
  <c r="AG4" i="12"/>
  <c r="K4" i="12" s="1"/>
  <c r="AH3" i="12"/>
  <c r="AG3" i="12"/>
  <c r="K3" i="12" s="1"/>
  <c r="AG2" i="12"/>
  <c r="K2" i="12" s="1"/>
  <c r="V2" i="12"/>
  <c r="L2" i="12"/>
  <c r="K37" i="14" l="1"/>
  <c r="D6" i="12"/>
  <c r="AD58" i="13"/>
  <c r="V83" i="13"/>
  <c r="L81" i="13"/>
  <c r="V6" i="14"/>
  <c r="W90" i="12"/>
  <c r="G5" i="15"/>
  <c r="H5" i="15" s="1"/>
  <c r="G9" i="14"/>
  <c r="K32" i="14"/>
  <c r="L35" i="14"/>
  <c r="K6" i="15"/>
  <c r="AD69" i="13"/>
  <c r="AH76" i="13"/>
  <c r="L33" i="14"/>
  <c r="AD38" i="13"/>
  <c r="V42" i="13"/>
  <c r="AD46" i="13"/>
  <c r="V33" i="14"/>
  <c r="AI5" i="15"/>
  <c r="G7" i="13"/>
  <c r="R7" i="13" s="1"/>
  <c r="V12" i="14"/>
  <c r="AD24" i="14"/>
  <c r="J24" i="14" s="1"/>
  <c r="AD8" i="14"/>
  <c r="G66" i="13"/>
  <c r="D62" i="13"/>
  <c r="G30" i="14"/>
  <c r="Q30" i="14" s="1"/>
  <c r="AD39" i="14"/>
  <c r="J39" i="14" s="1"/>
  <c r="AD31" i="14"/>
  <c r="AD23" i="14"/>
  <c r="J23" i="14" s="1"/>
  <c r="AD15" i="14"/>
  <c r="J15" i="14" s="1"/>
  <c r="AD7" i="14"/>
  <c r="G21" i="13"/>
  <c r="O21" i="13" s="1"/>
  <c r="AD60" i="13"/>
  <c r="AD52" i="13"/>
  <c r="L83" i="13"/>
  <c r="G80" i="13"/>
  <c r="G78" i="13"/>
  <c r="AD38" i="14"/>
  <c r="AD30" i="14"/>
  <c r="AD22" i="14"/>
  <c r="AD14" i="14"/>
  <c r="AD6" i="14"/>
  <c r="G14" i="13"/>
  <c r="I14" i="13" s="1"/>
  <c r="AD32" i="14"/>
  <c r="J32" i="14" s="1"/>
  <c r="AD16" i="14"/>
  <c r="AD29" i="14"/>
  <c r="AD36" i="14"/>
  <c r="AD28" i="14"/>
  <c r="AD20" i="14"/>
  <c r="AD12" i="14"/>
  <c r="J12" i="14" s="1"/>
  <c r="AD4" i="14"/>
  <c r="AH21" i="13"/>
  <c r="AH13" i="13"/>
  <c r="G49" i="13"/>
  <c r="R49" i="13" s="1"/>
  <c r="G51" i="13"/>
  <c r="S51" i="13" s="1"/>
  <c r="G62" i="13"/>
  <c r="I62" i="13" s="1"/>
  <c r="G72" i="13"/>
  <c r="N72" i="13" s="1"/>
  <c r="L18" i="14"/>
  <c r="AD21" i="14"/>
  <c r="G42" i="14"/>
  <c r="U42" i="14" s="1"/>
  <c r="AD43" i="14"/>
  <c r="AD35" i="14"/>
  <c r="AD27" i="14"/>
  <c r="AD19" i="14"/>
  <c r="AD11" i="14"/>
  <c r="AD3" i="14"/>
  <c r="G196" i="12"/>
  <c r="R196" i="12" s="1"/>
  <c r="G54" i="13"/>
  <c r="M54" i="13" s="1"/>
  <c r="G3" i="13"/>
  <c r="S3" i="13" s="1"/>
  <c r="V5" i="13"/>
  <c r="AH20" i="13"/>
  <c r="G15" i="13"/>
  <c r="N15" i="13" s="1"/>
  <c r="G27" i="13"/>
  <c r="M27" i="13" s="1"/>
  <c r="V31" i="13"/>
  <c r="AG54" i="13"/>
  <c r="K54" i="13" s="1"/>
  <c r="V56" i="13"/>
  <c r="V18" i="14"/>
  <c r="V42" i="14"/>
  <c r="AD42" i="14"/>
  <c r="AD34" i="14"/>
  <c r="AD26" i="14"/>
  <c r="AD18" i="14"/>
  <c r="J18" i="14" s="1"/>
  <c r="AD10" i="14"/>
  <c r="J10" i="14" s="1"/>
  <c r="AD2" i="14"/>
  <c r="G24" i="13"/>
  <c r="AD40" i="14"/>
  <c r="AD37" i="14"/>
  <c r="J37" i="14" s="1"/>
  <c r="AD13" i="14"/>
  <c r="J13" i="14" s="1"/>
  <c r="AD5" i="14"/>
  <c r="G10" i="13"/>
  <c r="W10" i="13" s="1"/>
  <c r="G2" i="13"/>
  <c r="Q2" i="13" s="1"/>
  <c r="AG19" i="13"/>
  <c r="K19" i="13" s="1"/>
  <c r="AD28" i="13"/>
  <c r="AG26" i="13"/>
  <c r="K26" i="13" s="1"/>
  <c r="AD41" i="14"/>
  <c r="J41" i="14" s="1"/>
  <c r="AD33" i="14"/>
  <c r="J33" i="14" s="1"/>
  <c r="AD25" i="14"/>
  <c r="J25" i="14" s="1"/>
  <c r="AD17" i="14"/>
  <c r="J17" i="14" s="1"/>
  <c r="AD9" i="14"/>
  <c r="K18" i="14"/>
  <c r="V25" i="14"/>
  <c r="K42" i="14"/>
  <c r="AG37" i="13"/>
  <c r="K37" i="13" s="1"/>
  <c r="V10" i="13"/>
  <c r="V50" i="13"/>
  <c r="V17" i="14"/>
  <c r="G34" i="14"/>
  <c r="W32" i="14" s="1"/>
  <c r="G43" i="14"/>
  <c r="W37" i="14" s="1"/>
  <c r="V11" i="15"/>
  <c r="AD57" i="13"/>
  <c r="D38" i="13"/>
  <c r="K25" i="14"/>
  <c r="K17" i="14"/>
  <c r="G26" i="14"/>
  <c r="W23" i="14" s="1"/>
  <c r="L34" i="14"/>
  <c r="K5" i="15"/>
  <c r="L25" i="14"/>
  <c r="AG38" i="13"/>
  <c r="K38" i="13" s="1"/>
  <c r="AD48" i="13"/>
  <c r="AD80" i="13"/>
  <c r="K11" i="14"/>
  <c r="V26" i="14"/>
  <c r="K41" i="14"/>
  <c r="L7" i="15"/>
  <c r="AH42" i="13"/>
  <c r="D44" i="13"/>
  <c r="AD63" i="13"/>
  <c r="K26" i="14"/>
  <c r="K34" i="14"/>
  <c r="F45" i="13"/>
  <c r="W103" i="12"/>
  <c r="F72" i="13"/>
  <c r="L28" i="13"/>
  <c r="F28" i="13"/>
  <c r="D35" i="13"/>
  <c r="D31" i="13"/>
  <c r="AD45" i="13"/>
  <c r="V60" i="13"/>
  <c r="D61" i="13"/>
  <c r="V81" i="13"/>
  <c r="K7" i="14"/>
  <c r="K30" i="14"/>
  <c r="V21" i="13"/>
  <c r="AH32" i="13"/>
  <c r="L60" i="13"/>
  <c r="AD68" i="13"/>
  <c r="V79" i="13"/>
  <c r="V63" i="13"/>
  <c r="L2" i="14"/>
  <c r="K14" i="14"/>
  <c r="K28" i="14"/>
  <c r="K33" i="14"/>
  <c r="K10" i="15"/>
  <c r="F17" i="13"/>
  <c r="D33" i="13"/>
  <c r="L55" i="13"/>
  <c r="F55" i="13"/>
  <c r="F64" i="13"/>
  <c r="V71" i="13"/>
  <c r="F71" i="13"/>
  <c r="AG75" i="13"/>
  <c r="K75" i="13" s="1"/>
  <c r="K8" i="15"/>
  <c r="F7" i="13"/>
  <c r="L24" i="13"/>
  <c r="F24" i="13"/>
  <c r="D60" i="13"/>
  <c r="F80" i="13"/>
  <c r="V30" i="14"/>
  <c r="F21" i="13"/>
  <c r="F13" i="13"/>
  <c r="L30" i="13"/>
  <c r="F30" i="13"/>
  <c r="Q61" i="12"/>
  <c r="L20" i="13"/>
  <c r="AG45" i="13"/>
  <c r="K45" i="13" s="1"/>
  <c r="L52" i="13"/>
  <c r="F54" i="13"/>
  <c r="L79" i="13"/>
  <c r="F79" i="13"/>
  <c r="V77" i="13"/>
  <c r="F77" i="13"/>
  <c r="V29" i="14"/>
  <c r="AD2" i="10"/>
  <c r="AD5" i="10"/>
  <c r="AD4" i="10"/>
  <c r="AD7" i="10"/>
  <c r="AD6" i="10"/>
  <c r="AD3" i="10"/>
  <c r="AD9" i="10"/>
  <c r="AD8" i="10"/>
  <c r="V7" i="13"/>
  <c r="L61" i="13"/>
  <c r="F61" i="13"/>
  <c r="AD6" i="13"/>
  <c r="F8" i="13"/>
  <c r="AH18" i="13"/>
  <c r="F23" i="13"/>
  <c r="F15" i="13"/>
  <c r="F11" i="13"/>
  <c r="F29" i="13"/>
  <c r="D46" i="13"/>
  <c r="L53" i="13"/>
  <c r="F53" i="13"/>
  <c r="V67" i="13"/>
  <c r="AD65" i="13"/>
  <c r="L32" i="14"/>
  <c r="W12" i="14"/>
  <c r="L10" i="15"/>
  <c r="V5" i="15"/>
  <c r="L8" i="15"/>
  <c r="W166" i="12"/>
  <c r="AH2" i="13"/>
  <c r="K16" i="14"/>
  <c r="L23" i="14"/>
  <c r="W125" i="12"/>
  <c r="AH10" i="13"/>
  <c r="AG42" i="13"/>
  <c r="K42" i="13" s="1"/>
  <c r="AH53" i="13"/>
  <c r="AD56" i="13"/>
  <c r="D68" i="13"/>
  <c r="V80" i="13"/>
  <c r="V78" i="13"/>
  <c r="G27" i="14"/>
  <c r="V39" i="14"/>
  <c r="L41" i="14"/>
  <c r="U37" i="14"/>
  <c r="W10" i="14"/>
  <c r="L9" i="15"/>
  <c r="L5" i="15"/>
  <c r="AD47" i="13"/>
  <c r="G31" i="13"/>
  <c r="P31" i="13" s="1"/>
  <c r="L80" i="13"/>
  <c r="D77" i="13"/>
  <c r="G31" i="14"/>
  <c r="N31" i="14" s="1"/>
  <c r="L21" i="13"/>
  <c r="G35" i="13"/>
  <c r="Q35" i="13" s="1"/>
  <c r="D14" i="13"/>
  <c r="D24" i="13"/>
  <c r="V52" i="13"/>
  <c r="AG60" i="13"/>
  <c r="K60" i="13" s="1"/>
  <c r="AH54" i="13"/>
  <c r="L69" i="13"/>
  <c r="AD67" i="13"/>
  <c r="L71" i="13"/>
  <c r="V76" i="13"/>
  <c r="L17" i="14"/>
  <c r="K27" i="14"/>
  <c r="G35" i="14"/>
  <c r="Q35" i="14" s="1"/>
  <c r="V41" i="14"/>
  <c r="K11" i="15"/>
  <c r="V6" i="15"/>
  <c r="V13" i="13"/>
  <c r="D4" i="13"/>
  <c r="D26" i="13"/>
  <c r="AG68" i="13"/>
  <c r="K68" i="13" s="1"/>
  <c r="W129" i="12"/>
  <c r="G26" i="13"/>
  <c r="Q26" i="13" s="1"/>
  <c r="D3" i="13"/>
  <c r="AH52" i="13"/>
  <c r="L38" i="13"/>
  <c r="AD41" i="13"/>
  <c r="G60" i="13"/>
  <c r="AG57" i="13"/>
  <c r="K57" i="13" s="1"/>
  <c r="V70" i="13"/>
  <c r="D69" i="13"/>
  <c r="AD61" i="13"/>
  <c r="V73" i="13"/>
  <c r="K10" i="14"/>
  <c r="L15" i="14"/>
  <c r="V28" i="14"/>
  <c r="K35" i="14"/>
  <c r="V40" i="14"/>
  <c r="V43" i="14"/>
  <c r="K9" i="15"/>
  <c r="K4" i="15"/>
  <c r="G33" i="13"/>
  <c r="M33" i="13" s="1"/>
  <c r="D30" i="13"/>
  <c r="V19" i="14"/>
  <c r="D2" i="13"/>
  <c r="AD25" i="13"/>
  <c r="G38" i="13"/>
  <c r="O38" i="13" s="1"/>
  <c r="V68" i="13"/>
  <c r="V61" i="13"/>
  <c r="AG72" i="13"/>
  <c r="K72" i="13" s="1"/>
  <c r="AD77" i="13"/>
  <c r="G15" i="12"/>
  <c r="O15" i="12" s="1"/>
  <c r="D15" i="12"/>
  <c r="G20" i="12"/>
  <c r="H20" i="12" s="1"/>
  <c r="D20" i="12"/>
  <c r="G22" i="12"/>
  <c r="D22" i="12"/>
  <c r="G38" i="12"/>
  <c r="P38" i="12" s="1"/>
  <c r="D38" i="12"/>
  <c r="W134" i="12"/>
  <c r="W118" i="12"/>
  <c r="D195" i="12"/>
  <c r="AH34" i="13"/>
  <c r="AG34" i="13"/>
  <c r="K34" i="13" s="1"/>
  <c r="G44" i="13"/>
  <c r="AD49" i="13"/>
  <c r="G55" i="13"/>
  <c r="D55" i="13"/>
  <c r="V59" i="13"/>
  <c r="AD59" i="13"/>
  <c r="V66" i="13"/>
  <c r="AD66" i="13"/>
  <c r="G63" i="13"/>
  <c r="D63" i="13"/>
  <c r="V75" i="13"/>
  <c r="G13" i="12"/>
  <c r="U13" i="12" s="1"/>
  <c r="D13" i="12"/>
  <c r="G19" i="12"/>
  <c r="Q19" i="12" s="1"/>
  <c r="D19" i="12"/>
  <c r="G34" i="12"/>
  <c r="P34" i="12" s="1"/>
  <c r="D34" i="12"/>
  <c r="G37" i="12"/>
  <c r="D37" i="12"/>
  <c r="G4" i="13"/>
  <c r="P4" i="13" s="1"/>
  <c r="AH28" i="13"/>
  <c r="V19" i="13"/>
  <c r="AH19" i="13"/>
  <c r="V11" i="13"/>
  <c r="G20" i="13"/>
  <c r="M20" i="13" s="1"/>
  <c r="D20" i="13"/>
  <c r="D16" i="13"/>
  <c r="G16" i="13"/>
  <c r="P16" i="13" s="1"/>
  <c r="G12" i="13"/>
  <c r="S12" i="13" s="1"/>
  <c r="D12" i="13"/>
  <c r="AG27" i="13"/>
  <c r="K27" i="13" s="1"/>
  <c r="AH25" i="13"/>
  <c r="L25" i="13"/>
  <c r="L64" i="13"/>
  <c r="V62" i="13"/>
  <c r="L62" i="13"/>
  <c r="G77" i="13"/>
  <c r="M77" i="13" s="1"/>
  <c r="L76" i="13"/>
  <c r="V74" i="13"/>
  <c r="D82" i="13"/>
  <c r="G82" i="13"/>
  <c r="O82" i="13" s="1"/>
  <c r="L78" i="13"/>
  <c r="D197" i="12"/>
  <c r="V27" i="13"/>
  <c r="L27" i="13"/>
  <c r="G39" i="13"/>
  <c r="I39" i="13" s="1"/>
  <c r="D39" i="13"/>
  <c r="L66" i="13"/>
  <c r="G10" i="15"/>
  <c r="N10" i="15" s="1"/>
  <c r="D10" i="15"/>
  <c r="G4" i="12"/>
  <c r="N4" i="12" s="1"/>
  <c r="D4" i="12"/>
  <c r="G8" i="13"/>
  <c r="N8" i="13" s="1"/>
  <c r="D8" i="13"/>
  <c r="D15" i="13"/>
  <c r="G29" i="13"/>
  <c r="Q29" i="13" s="1"/>
  <c r="D29" i="13"/>
  <c r="G68" i="13"/>
  <c r="P68" i="13" s="1"/>
  <c r="D76" i="13"/>
  <c r="G76" i="13"/>
  <c r="AI7" i="15"/>
  <c r="D7" i="15"/>
  <c r="D7" i="13"/>
  <c r="D25" i="13"/>
  <c r="G25" i="13"/>
  <c r="U25" i="13" s="1"/>
  <c r="V35" i="13"/>
  <c r="AH35" i="13"/>
  <c r="AH33" i="13"/>
  <c r="L33" i="13"/>
  <c r="G59" i="13"/>
  <c r="Q59" i="13" s="1"/>
  <c r="D59" i="13"/>
  <c r="AH55" i="13"/>
  <c r="AD55" i="13"/>
  <c r="AG69" i="13"/>
  <c r="K69" i="13" s="1"/>
  <c r="D3" i="14"/>
  <c r="L36" i="14"/>
  <c r="V36" i="14"/>
  <c r="D6" i="13"/>
  <c r="G6" i="13"/>
  <c r="AG18" i="13"/>
  <c r="K18" i="13" s="1"/>
  <c r="V23" i="13"/>
  <c r="V15" i="13"/>
  <c r="G22" i="13"/>
  <c r="P22" i="13" s="1"/>
  <c r="D22" i="13"/>
  <c r="G18" i="13"/>
  <c r="M18" i="13" s="1"/>
  <c r="D18" i="13"/>
  <c r="G46" i="13"/>
  <c r="AD37" i="13"/>
  <c r="V57" i="13"/>
  <c r="L56" i="13"/>
  <c r="D58" i="13"/>
  <c r="G58" i="13"/>
  <c r="S58" i="13" s="1"/>
  <c r="AD54" i="13"/>
  <c r="J54" i="13" s="1"/>
  <c r="G69" i="13"/>
  <c r="L72" i="13"/>
  <c r="D74" i="13"/>
  <c r="G74" i="13"/>
  <c r="O74" i="13" s="1"/>
  <c r="G83" i="13"/>
  <c r="R83" i="13" s="1"/>
  <c r="D83" i="13"/>
  <c r="G81" i="13"/>
  <c r="P81" i="13" s="1"/>
  <c r="D81" i="13"/>
  <c r="L77" i="13"/>
  <c r="V69" i="13"/>
  <c r="V4" i="14"/>
  <c r="G4" i="14"/>
  <c r="D2" i="14"/>
  <c r="V13" i="14"/>
  <c r="L13" i="14"/>
  <c r="W115" i="12"/>
  <c r="W116" i="12"/>
  <c r="L34" i="13"/>
  <c r="G41" i="13"/>
  <c r="Q41" i="13" s="1"/>
  <c r="D41" i="13"/>
  <c r="G43" i="13"/>
  <c r="Q43" i="13" s="1"/>
  <c r="D43" i="13"/>
  <c r="G10" i="12"/>
  <c r="I10" i="12" s="1"/>
  <c r="D10" i="12"/>
  <c r="G17" i="12"/>
  <c r="N17" i="12" s="1"/>
  <c r="D17" i="12"/>
  <c r="G27" i="12"/>
  <c r="S27" i="12" s="1"/>
  <c r="D27" i="12"/>
  <c r="G32" i="12"/>
  <c r="D32" i="12"/>
  <c r="G35" i="12"/>
  <c r="O35" i="12" s="1"/>
  <c r="D35" i="12"/>
  <c r="D23" i="13"/>
  <c r="G23" i="13"/>
  <c r="D19" i="13"/>
  <c r="G19" i="13"/>
  <c r="S19" i="13" s="1"/>
  <c r="D11" i="13"/>
  <c r="G11" i="13"/>
  <c r="I11" i="13" s="1"/>
  <c r="D37" i="13"/>
  <c r="G37" i="13"/>
  <c r="P37" i="13" s="1"/>
  <c r="V72" i="13"/>
  <c r="G173" i="12"/>
  <c r="D173" i="12"/>
  <c r="D40" i="13"/>
  <c r="G40" i="13"/>
  <c r="O40" i="13" s="1"/>
  <c r="G42" i="13"/>
  <c r="D42" i="13"/>
  <c r="AD44" i="13"/>
  <c r="AH44" i="13"/>
  <c r="V44" i="13"/>
  <c r="V49" i="13"/>
  <c r="G48" i="13"/>
  <c r="P48" i="13" s="1"/>
  <c r="D48" i="13"/>
  <c r="V51" i="13"/>
  <c r="D57" i="13"/>
  <c r="G57" i="13"/>
  <c r="O57" i="13" s="1"/>
  <c r="L51" i="13"/>
  <c r="AD51" i="13"/>
  <c r="V53" i="13"/>
  <c r="AD53" i="13"/>
  <c r="L82" i="13"/>
  <c r="V82" i="13"/>
  <c r="D79" i="13"/>
  <c r="G79" i="13"/>
  <c r="O79" i="13" s="1"/>
  <c r="V65" i="13"/>
  <c r="G14" i="14"/>
  <c r="H14" i="14" s="1"/>
  <c r="L14" i="14"/>
  <c r="G22" i="14"/>
  <c r="I22" i="14" s="1"/>
  <c r="V22" i="14"/>
  <c r="L22" i="14"/>
  <c r="G38" i="14"/>
  <c r="M38" i="14" s="1"/>
  <c r="V38" i="14"/>
  <c r="L19" i="13"/>
  <c r="D71" i="13"/>
  <c r="G71" i="13"/>
  <c r="O71" i="13" s="1"/>
  <c r="L75" i="13"/>
  <c r="G7" i="12"/>
  <c r="O7" i="12" s="1"/>
  <c r="D7" i="12"/>
  <c r="G9" i="12"/>
  <c r="I9" i="12" s="1"/>
  <c r="D9" i="12"/>
  <c r="G21" i="12"/>
  <c r="R21" i="12" s="1"/>
  <c r="D21" i="12"/>
  <c r="G23" i="12"/>
  <c r="I23" i="12" s="1"/>
  <c r="D23" i="12"/>
  <c r="G39" i="12"/>
  <c r="O39" i="12" s="1"/>
  <c r="D39" i="12"/>
  <c r="P53" i="12"/>
  <c r="G172" i="12"/>
  <c r="P172" i="12" s="1"/>
  <c r="D172" i="12"/>
  <c r="G30" i="13"/>
  <c r="R30" i="13" s="1"/>
  <c r="AG41" i="13"/>
  <c r="K41" i="13" s="1"/>
  <c r="V41" i="13"/>
  <c r="AD43" i="13"/>
  <c r="AG50" i="13"/>
  <c r="K50" i="13" s="1"/>
  <c r="AD50" i="13"/>
  <c r="L50" i="13"/>
  <c r="G47" i="13"/>
  <c r="Q47" i="13" s="1"/>
  <c r="D47" i="13"/>
  <c r="V55" i="13"/>
  <c r="G61" i="13"/>
  <c r="U61" i="13" s="1"/>
  <c r="V64" i="13"/>
  <c r="W41" i="14"/>
  <c r="G5" i="14"/>
  <c r="P5" i="14" s="1"/>
  <c r="L5" i="14"/>
  <c r="G7" i="14"/>
  <c r="S7" i="14" s="1"/>
  <c r="D7" i="14"/>
  <c r="G3" i="12"/>
  <c r="J3" i="12" s="1"/>
  <c r="D3" i="12"/>
  <c r="G11" i="12"/>
  <c r="O11" i="12" s="1"/>
  <c r="D11" i="12"/>
  <c r="G16" i="12"/>
  <c r="R16" i="12" s="1"/>
  <c r="D16" i="12"/>
  <c r="G26" i="12"/>
  <c r="J26" i="12" s="1"/>
  <c r="D26" i="12"/>
  <c r="G31" i="12"/>
  <c r="H31" i="12" s="1"/>
  <c r="D31" i="12"/>
  <c r="G176" i="12"/>
  <c r="D176" i="12"/>
  <c r="D196" i="12"/>
  <c r="AH7" i="13"/>
  <c r="L4" i="13"/>
  <c r="AD26" i="13"/>
  <c r="V40" i="13"/>
  <c r="L42" i="13"/>
  <c r="D54" i="13"/>
  <c r="AG58" i="13"/>
  <c r="K58" i="13" s="1"/>
  <c r="AD70" i="13"/>
  <c r="L67" i="13"/>
  <c r="L63" i="13"/>
  <c r="G73" i="13"/>
  <c r="D73" i="13"/>
  <c r="D80" i="13"/>
  <c r="D78" i="13"/>
  <c r="K4" i="14"/>
  <c r="L24" i="14"/>
  <c r="K40" i="14"/>
  <c r="K43" i="14"/>
  <c r="D6" i="14"/>
  <c r="G9" i="15"/>
  <c r="J9" i="15" s="1"/>
  <c r="D9" i="15"/>
  <c r="D5" i="15"/>
  <c r="G4" i="15"/>
  <c r="D4" i="15"/>
  <c r="G2" i="12"/>
  <c r="P2" i="12" s="1"/>
  <c r="D2" i="12"/>
  <c r="G6" i="12"/>
  <c r="S6" i="12" s="1"/>
  <c r="G25" i="12"/>
  <c r="U25" i="12" s="1"/>
  <c r="D25" i="12"/>
  <c r="G30" i="12"/>
  <c r="S30" i="12" s="1"/>
  <c r="D30" i="12"/>
  <c r="G41" i="12"/>
  <c r="H41" i="12" s="1"/>
  <c r="D41" i="12"/>
  <c r="G175" i="12"/>
  <c r="H175" i="12" s="1"/>
  <c r="D175" i="12"/>
  <c r="D10" i="13"/>
  <c r="AH9" i="13"/>
  <c r="L3" i="13"/>
  <c r="D21" i="13"/>
  <c r="G17" i="13"/>
  <c r="I17" i="13" s="1"/>
  <c r="D17" i="13"/>
  <c r="G13" i="13"/>
  <c r="D13" i="13"/>
  <c r="V26" i="13"/>
  <c r="G50" i="13"/>
  <c r="P50" i="13" s="1"/>
  <c r="D50" i="13"/>
  <c r="D51" i="13"/>
  <c r="G53" i="13"/>
  <c r="U53" i="13" s="1"/>
  <c r="D53" i="13"/>
  <c r="L70" i="13"/>
  <c r="L68" i="13"/>
  <c r="G67" i="13"/>
  <c r="M67" i="13" s="1"/>
  <c r="D67" i="13"/>
  <c r="D72" i="13"/>
  <c r="G16" i="14"/>
  <c r="R16" i="14" s="1"/>
  <c r="K24" i="14"/>
  <c r="K38" i="14"/>
  <c r="D5" i="14"/>
  <c r="AI2" i="15"/>
  <c r="D2" i="15"/>
  <c r="V4" i="15"/>
  <c r="G8" i="12"/>
  <c r="D8" i="12"/>
  <c r="G14" i="12"/>
  <c r="U14" i="12" s="1"/>
  <c r="D14" i="12"/>
  <c r="G24" i="12"/>
  <c r="R24" i="12" s="1"/>
  <c r="D24" i="12"/>
  <c r="G29" i="12"/>
  <c r="R29" i="12" s="1"/>
  <c r="D29" i="12"/>
  <c r="G40" i="12"/>
  <c r="D40" i="12"/>
  <c r="W161" i="12"/>
  <c r="G174" i="12"/>
  <c r="R174" i="12" s="1"/>
  <c r="D174" i="12"/>
  <c r="G9" i="13"/>
  <c r="R9" i="13" s="1"/>
  <c r="D9" i="13"/>
  <c r="L8" i="13"/>
  <c r="L10" i="13"/>
  <c r="AD29" i="13"/>
  <c r="G28" i="13"/>
  <c r="U28" i="13" s="1"/>
  <c r="D28" i="13"/>
  <c r="D49" i="13"/>
  <c r="G52" i="13"/>
  <c r="D52" i="13"/>
  <c r="G70" i="13"/>
  <c r="I70" i="13" s="1"/>
  <c r="D70" i="13"/>
  <c r="G65" i="13"/>
  <c r="N65" i="13" s="1"/>
  <c r="D65" i="13"/>
  <c r="V16" i="14"/>
  <c r="D4" i="14"/>
  <c r="AI6" i="15"/>
  <c r="D6" i="15"/>
  <c r="G11" i="15"/>
  <c r="N11" i="15" s="1"/>
  <c r="D11" i="15"/>
  <c r="G5" i="12"/>
  <c r="D5" i="12"/>
  <c r="G12" i="12"/>
  <c r="Q12" i="12" s="1"/>
  <c r="D12" i="12"/>
  <c r="G18" i="12"/>
  <c r="R18" i="12" s="1"/>
  <c r="D18" i="12"/>
  <c r="G28" i="12"/>
  <c r="P28" i="12" s="1"/>
  <c r="D28" i="12"/>
  <c r="G33" i="12"/>
  <c r="R33" i="12" s="1"/>
  <c r="D33" i="12"/>
  <c r="G36" i="12"/>
  <c r="Q36" i="12" s="1"/>
  <c r="D36" i="12"/>
  <c r="W189" i="12"/>
  <c r="W117" i="12"/>
  <c r="G198" i="12"/>
  <c r="O198" i="12" s="1"/>
  <c r="D198" i="12"/>
  <c r="L16" i="13"/>
  <c r="G5" i="13"/>
  <c r="U5" i="13" s="1"/>
  <c r="D5" i="13"/>
  <c r="L14" i="13"/>
  <c r="D27" i="13"/>
  <c r="G36" i="13"/>
  <c r="W36" i="13" s="1"/>
  <c r="D36" i="13"/>
  <c r="G34" i="13"/>
  <c r="I34" i="13" s="1"/>
  <c r="D34" i="13"/>
  <c r="G32" i="13"/>
  <c r="S32" i="13" s="1"/>
  <c r="D32" i="13"/>
  <c r="G45" i="13"/>
  <c r="D45" i="13"/>
  <c r="G56" i="13"/>
  <c r="D56" i="13"/>
  <c r="D66" i="13"/>
  <c r="G64" i="13"/>
  <c r="M64" i="13" s="1"/>
  <c r="D64" i="13"/>
  <c r="G75" i="13"/>
  <c r="D75" i="13"/>
  <c r="L73" i="13"/>
  <c r="AD78" i="13"/>
  <c r="AI8" i="15"/>
  <c r="D8" i="15"/>
  <c r="G3" i="15"/>
  <c r="I3" i="15" s="1"/>
  <c r="D3" i="15"/>
  <c r="AI4" i="15"/>
  <c r="AI3" i="15"/>
  <c r="AI9" i="15"/>
  <c r="AI11" i="15"/>
  <c r="AI10" i="15"/>
  <c r="R67" i="12"/>
  <c r="W100" i="12"/>
  <c r="R43" i="12"/>
  <c r="W137" i="12"/>
  <c r="W113" i="12"/>
  <c r="W80" i="12"/>
  <c r="W162" i="12"/>
  <c r="W92" i="12"/>
  <c r="W135" i="12"/>
  <c r="W53" i="12"/>
  <c r="W97" i="12"/>
  <c r="G197" i="12"/>
  <c r="S197" i="12" s="1"/>
  <c r="W168" i="12"/>
  <c r="W136" i="12"/>
  <c r="W79" i="12"/>
  <c r="O63" i="12"/>
  <c r="W190" i="12"/>
  <c r="W94" i="12"/>
  <c r="Q66" i="12"/>
  <c r="M43" i="12"/>
  <c r="W85" i="12"/>
  <c r="W96" i="12"/>
  <c r="W187" i="12"/>
  <c r="W194" i="12"/>
  <c r="W93" i="12"/>
  <c r="W99" i="12"/>
  <c r="W91" i="12"/>
  <c r="W122" i="12"/>
  <c r="W114" i="12"/>
  <c r="W156" i="12"/>
  <c r="W106" i="12"/>
  <c r="W177" i="12"/>
  <c r="W188" i="12"/>
  <c r="N64" i="12"/>
  <c r="W192" i="12"/>
  <c r="W160" i="12"/>
  <c r="W110" i="12"/>
  <c r="W141" i="12"/>
  <c r="N48" i="12"/>
  <c r="W191" i="12"/>
  <c r="W183" i="12"/>
  <c r="W75" i="12"/>
  <c r="W121" i="12"/>
  <c r="W167" i="12"/>
  <c r="W109" i="12"/>
  <c r="W74" i="12"/>
  <c r="W120" i="12"/>
  <c r="W112" i="12"/>
  <c r="O52" i="12"/>
  <c r="R56" i="12"/>
  <c r="W169" i="12"/>
  <c r="W78" i="12"/>
  <c r="W105" i="12"/>
  <c r="W127" i="12"/>
  <c r="M46" i="12"/>
  <c r="U73" i="12"/>
  <c r="W146" i="12"/>
  <c r="Q63" i="12"/>
  <c r="Q55" i="12"/>
  <c r="W139" i="12"/>
  <c r="P84" i="12"/>
  <c r="M81" i="12"/>
  <c r="N63" i="12"/>
  <c r="O50" i="12"/>
  <c r="P63" i="12"/>
  <c r="P55" i="12"/>
  <c r="Q50" i="12"/>
  <c r="W83" i="12"/>
  <c r="W87" i="12"/>
  <c r="W104" i="12"/>
  <c r="W108" i="12"/>
  <c r="W138" i="12"/>
  <c r="W150" i="12"/>
  <c r="W142" i="12"/>
  <c r="W158" i="12"/>
  <c r="W193" i="12"/>
  <c r="W147" i="12"/>
  <c r="R73" i="12"/>
  <c r="P73" i="12"/>
  <c r="U46" i="12"/>
  <c r="S50" i="12"/>
  <c r="W124" i="12"/>
  <c r="W152" i="12"/>
  <c r="M73" i="12"/>
  <c r="N55" i="12"/>
  <c r="U70" i="12"/>
  <c r="S58" i="12"/>
  <c r="G195" i="12"/>
  <c r="N195" i="12" s="1"/>
  <c r="W72" i="12"/>
  <c r="W82" i="12"/>
  <c r="W86" i="12"/>
  <c r="W107" i="12"/>
  <c r="W123" i="12"/>
  <c r="W149" i="12"/>
  <c r="W151" i="12"/>
  <c r="W164" i="12"/>
  <c r="W170" i="12"/>
  <c r="W182" i="12"/>
  <c r="W180" i="12"/>
  <c r="W179" i="12"/>
  <c r="W88" i="12"/>
  <c r="W143" i="12"/>
  <c r="W165" i="12"/>
  <c r="W184" i="12"/>
  <c r="M59" i="12"/>
  <c r="N53" i="12"/>
  <c r="P81" i="12"/>
  <c r="W76" i="12"/>
  <c r="W81" i="12"/>
  <c r="W101" i="12"/>
  <c r="W102" i="12"/>
  <c r="W128" i="12"/>
  <c r="W148" i="12"/>
  <c r="W157" i="12"/>
  <c r="W163" i="12"/>
  <c r="W181" i="12"/>
  <c r="W126" i="12"/>
  <c r="W155" i="12"/>
  <c r="W73" i="12"/>
  <c r="W84" i="12"/>
  <c r="W98" i="12"/>
  <c r="W111" i="12"/>
  <c r="W119" i="12"/>
  <c r="W131" i="12"/>
  <c r="W133" i="12"/>
  <c r="W145" i="12"/>
  <c r="W154" i="12"/>
  <c r="W178" i="12"/>
  <c r="W44" i="12"/>
  <c r="Q86" i="12"/>
  <c r="N67" i="12"/>
  <c r="O58" i="12"/>
  <c r="S63" i="12"/>
  <c r="P46" i="12"/>
  <c r="W77" i="12"/>
  <c r="W140" i="12"/>
  <c r="W132" i="12"/>
  <c r="W144" i="12"/>
  <c r="W153" i="12"/>
  <c r="W159" i="12"/>
  <c r="W185" i="12"/>
  <c r="W186" i="12"/>
  <c r="G2" i="15"/>
  <c r="U2" i="15" s="1"/>
  <c r="N5" i="15"/>
  <c r="G7" i="15"/>
  <c r="U5" i="15"/>
  <c r="M5" i="15"/>
  <c r="G8" i="15"/>
  <c r="G6" i="15"/>
  <c r="J5" i="15"/>
  <c r="I5" i="15"/>
  <c r="P5" i="15"/>
  <c r="K2" i="15"/>
  <c r="L2" i="15"/>
  <c r="G28" i="14"/>
  <c r="M28" i="14" s="1"/>
  <c r="G36" i="14"/>
  <c r="U36" i="14" s="1"/>
  <c r="U10" i="14"/>
  <c r="L12" i="14"/>
  <c r="V24" i="14"/>
  <c r="K29" i="14"/>
  <c r="V32" i="14"/>
  <c r="K36" i="14"/>
  <c r="L39" i="14"/>
  <c r="V15" i="14"/>
  <c r="V23" i="14"/>
  <c r="G2" i="14"/>
  <c r="I2" i="14" s="1"/>
  <c r="L4" i="14"/>
  <c r="K12" i="14"/>
  <c r="V31" i="14"/>
  <c r="L37" i="14"/>
  <c r="V5" i="14"/>
  <c r="K39" i="14"/>
  <c r="K2" i="14"/>
  <c r="L9" i="14"/>
  <c r="K15" i="14"/>
  <c r="K20" i="14"/>
  <c r="K23" i="14"/>
  <c r="G29" i="14"/>
  <c r="K31" i="14"/>
  <c r="V37" i="14"/>
  <c r="G40" i="14"/>
  <c r="U40" i="14" s="1"/>
  <c r="K9" i="14"/>
  <c r="G21" i="14"/>
  <c r="U21" i="14" s="1"/>
  <c r="G6" i="14"/>
  <c r="O6" i="14" s="1"/>
  <c r="G3" i="14"/>
  <c r="I3" i="14" s="1"/>
  <c r="K5" i="14"/>
  <c r="V8" i="14"/>
  <c r="G11" i="14"/>
  <c r="L21" i="14"/>
  <c r="G8" i="14"/>
  <c r="K19" i="14"/>
  <c r="K8" i="14"/>
  <c r="L10" i="14"/>
  <c r="L11" i="14"/>
  <c r="K13" i="14"/>
  <c r="L20" i="14"/>
  <c r="K22" i="14"/>
  <c r="L3" i="14"/>
  <c r="K3" i="14"/>
  <c r="L7" i="14"/>
  <c r="V10" i="14"/>
  <c r="G19" i="14"/>
  <c r="N19" i="14" s="1"/>
  <c r="V20" i="14"/>
  <c r="K6" i="14"/>
  <c r="U18" i="14"/>
  <c r="K21" i="14"/>
  <c r="J7" i="14"/>
  <c r="P37" i="14"/>
  <c r="P24" i="14"/>
  <c r="R24" i="14"/>
  <c r="M24" i="14"/>
  <c r="H24" i="14"/>
  <c r="N24" i="14"/>
  <c r="U24" i="14"/>
  <c r="I24" i="14"/>
  <c r="S24" i="14"/>
  <c r="I10" i="14"/>
  <c r="N10" i="14"/>
  <c r="O37" i="14"/>
  <c r="M10" i="14"/>
  <c r="Q10" i="14"/>
  <c r="R21" i="14"/>
  <c r="H10" i="14"/>
  <c r="P32" i="14"/>
  <c r="N32" i="14"/>
  <c r="M32" i="14"/>
  <c r="I32" i="14"/>
  <c r="S13" i="14"/>
  <c r="O13" i="14"/>
  <c r="N13" i="14"/>
  <c r="Q8" i="14"/>
  <c r="J20" i="14"/>
  <c r="I20" i="14"/>
  <c r="H17" i="14"/>
  <c r="M17" i="14"/>
  <c r="R17" i="14"/>
  <c r="Q24" i="14"/>
  <c r="Q18" i="14"/>
  <c r="M33" i="14"/>
  <c r="I18" i="14"/>
  <c r="S39" i="14"/>
  <c r="P39" i="14"/>
  <c r="R18" i="14"/>
  <c r="U32" i="14"/>
  <c r="S32" i="14"/>
  <c r="P33" i="14"/>
  <c r="R42" i="14"/>
  <c r="N9" i="14"/>
  <c r="S18" i="14"/>
  <c r="M18" i="14"/>
  <c r="H18" i="14"/>
  <c r="N15" i="14"/>
  <c r="U15" i="14"/>
  <c r="M15" i="14"/>
  <c r="Q15" i="14"/>
  <c r="I15" i="14"/>
  <c r="O15" i="14"/>
  <c r="H15" i="14"/>
  <c r="P15" i="14"/>
  <c r="S15" i="14"/>
  <c r="R15" i="14"/>
  <c r="P12" i="14"/>
  <c r="H12" i="14"/>
  <c r="O12" i="14"/>
  <c r="N12" i="14"/>
  <c r="S12" i="14"/>
  <c r="U23" i="14"/>
  <c r="M23" i="14"/>
  <c r="R23" i="14"/>
  <c r="S23" i="14"/>
  <c r="H23" i="14"/>
  <c r="Q23" i="14"/>
  <c r="P23" i="14"/>
  <c r="Q41" i="14"/>
  <c r="I41" i="14"/>
  <c r="N41" i="14"/>
  <c r="S41" i="14"/>
  <c r="H41" i="14"/>
  <c r="R41" i="14"/>
  <c r="O41" i="14"/>
  <c r="P41" i="14"/>
  <c r="R9" i="14"/>
  <c r="S10" i="14"/>
  <c r="R10" i="14"/>
  <c r="O10" i="14"/>
  <c r="M12" i="14"/>
  <c r="Q17" i="14"/>
  <c r="I17" i="14"/>
  <c r="U17" i="14"/>
  <c r="S17" i="14"/>
  <c r="O17" i="14"/>
  <c r="O20" i="14"/>
  <c r="Q20" i="14"/>
  <c r="H20" i="14"/>
  <c r="P20" i="14"/>
  <c r="N20" i="14"/>
  <c r="U20" i="14"/>
  <c r="I23" i="14"/>
  <c r="Q33" i="14"/>
  <c r="I33" i="14"/>
  <c r="N33" i="14"/>
  <c r="U33" i="14"/>
  <c r="S33" i="14"/>
  <c r="H33" i="14"/>
  <c r="O33" i="14"/>
  <c r="Q25" i="14"/>
  <c r="I25" i="14"/>
  <c r="N25" i="14"/>
  <c r="M25" i="14"/>
  <c r="U25" i="14"/>
  <c r="R25" i="14"/>
  <c r="U39" i="14"/>
  <c r="M39" i="14"/>
  <c r="R39" i="14"/>
  <c r="N39" i="14"/>
  <c r="I39" i="14"/>
  <c r="Q39" i="14"/>
  <c r="Q37" i="14"/>
  <c r="I37" i="14"/>
  <c r="N37" i="14"/>
  <c r="S37" i="14"/>
  <c r="H37" i="14"/>
  <c r="R37" i="14"/>
  <c r="M37" i="14"/>
  <c r="M41" i="14"/>
  <c r="S8" i="14"/>
  <c r="R13" i="14"/>
  <c r="Q13" i="14"/>
  <c r="I13" i="14"/>
  <c r="P13" i="14"/>
  <c r="H13" i="14"/>
  <c r="U13" i="14"/>
  <c r="M13" i="14"/>
  <c r="N23" i="14"/>
  <c r="S25" i="14"/>
  <c r="Q12" i="14"/>
  <c r="H39" i="14"/>
  <c r="P10" i="14"/>
  <c r="U12" i="14"/>
  <c r="N17" i="14"/>
  <c r="M20" i="14"/>
  <c r="O23" i="14"/>
  <c r="R33" i="14"/>
  <c r="U41" i="14"/>
  <c r="P42" i="14"/>
  <c r="H42" i="14"/>
  <c r="N42" i="14"/>
  <c r="H25" i="14"/>
  <c r="O25" i="14"/>
  <c r="R12" i="14"/>
  <c r="P25" i="14"/>
  <c r="I12" i="14"/>
  <c r="P17" i="14"/>
  <c r="R20" i="14"/>
  <c r="O39" i="14"/>
  <c r="H32" i="14"/>
  <c r="Q32" i="14"/>
  <c r="N18" i="14"/>
  <c r="O24" i="14"/>
  <c r="AL6" i="14"/>
  <c r="O18" i="14"/>
  <c r="P18" i="14"/>
  <c r="O32" i="14"/>
  <c r="U78" i="13"/>
  <c r="O60" i="13"/>
  <c r="AD79" i="13"/>
  <c r="AH83" i="13"/>
  <c r="AG83" i="13"/>
  <c r="K83" i="13" s="1"/>
  <c r="AH82" i="13"/>
  <c r="AG82" i="13"/>
  <c r="K82" i="13" s="1"/>
  <c r="AH81" i="13"/>
  <c r="AG81" i="13"/>
  <c r="K81" i="13" s="1"/>
  <c r="AG74" i="13"/>
  <c r="K74" i="13" s="1"/>
  <c r="L74" i="13"/>
  <c r="AH80" i="13"/>
  <c r="AG80" i="13"/>
  <c r="K80" i="13" s="1"/>
  <c r="AH79" i="13"/>
  <c r="AG79" i="13"/>
  <c r="K79" i="13" s="1"/>
  <c r="AH78" i="13"/>
  <c r="AG78" i="13"/>
  <c r="K78" i="13" s="1"/>
  <c r="AH77" i="13"/>
  <c r="AG77" i="13"/>
  <c r="K77" i="13" s="1"/>
  <c r="AG76" i="13"/>
  <c r="K76" i="13" s="1"/>
  <c r="AH75" i="13"/>
  <c r="AH74" i="13"/>
  <c r="H74" i="13" s="1"/>
  <c r="AH73" i="13"/>
  <c r="AG73" i="13"/>
  <c r="K73" i="13" s="1"/>
  <c r="AH72" i="13"/>
  <c r="AH71" i="13"/>
  <c r="AG71" i="13"/>
  <c r="K71" i="13" s="1"/>
  <c r="AD64" i="13"/>
  <c r="AG70" i="13"/>
  <c r="K70" i="13" s="1"/>
  <c r="L65" i="13"/>
  <c r="AG62" i="13"/>
  <c r="K62" i="13" s="1"/>
  <c r="AD62" i="13"/>
  <c r="AH70" i="13"/>
  <c r="AH69" i="13"/>
  <c r="AH68" i="13"/>
  <c r="AH67" i="13"/>
  <c r="AG67" i="13"/>
  <c r="K67" i="13" s="1"/>
  <c r="P66" i="13"/>
  <c r="AH66" i="13"/>
  <c r="H66" i="13" s="1"/>
  <c r="AG66" i="13"/>
  <c r="K66" i="13" s="1"/>
  <c r="AH65" i="13"/>
  <c r="AG65" i="13"/>
  <c r="K65" i="13" s="1"/>
  <c r="AH64" i="13"/>
  <c r="AH63" i="13"/>
  <c r="AG63" i="13"/>
  <c r="K63" i="13" s="1"/>
  <c r="O62" i="13"/>
  <c r="AH62" i="13"/>
  <c r="AH61" i="13"/>
  <c r="AG61" i="13"/>
  <c r="K61" i="13" s="1"/>
  <c r="V54" i="13"/>
  <c r="V58" i="13"/>
  <c r="AG55" i="13"/>
  <c r="K55" i="13" s="1"/>
  <c r="L54" i="13"/>
  <c r="O54" i="13"/>
  <c r="U51" i="13"/>
  <c r="L59" i="13"/>
  <c r="L58" i="13"/>
  <c r="L57" i="13"/>
  <c r="R54" i="13"/>
  <c r="S54" i="13"/>
  <c r="AH60" i="13"/>
  <c r="H60" i="13" s="1"/>
  <c r="AH59" i="13"/>
  <c r="AG59" i="13"/>
  <c r="K59" i="13" s="1"/>
  <c r="AH58" i="13"/>
  <c r="AH57" i="13"/>
  <c r="AH56" i="13"/>
  <c r="AG56" i="13"/>
  <c r="K56" i="13" s="1"/>
  <c r="V48" i="13"/>
  <c r="L49" i="13"/>
  <c r="L46" i="13"/>
  <c r="AH48" i="13"/>
  <c r="AG46" i="13"/>
  <c r="K46" i="13" s="1"/>
  <c r="L48" i="13"/>
  <c r="AH49" i="13"/>
  <c r="AD42" i="13"/>
  <c r="L41" i="13"/>
  <c r="L40" i="13"/>
  <c r="AH41" i="13"/>
  <c r="L47" i="13"/>
  <c r="AG47" i="13"/>
  <c r="K47" i="13" s="1"/>
  <c r="V47" i="13"/>
  <c r="AG52" i="13"/>
  <c r="K52" i="13" s="1"/>
  <c r="AH47" i="13"/>
  <c r="AG43" i="13"/>
  <c r="K43" i="13" s="1"/>
  <c r="V43" i="13"/>
  <c r="AH43" i="13"/>
  <c r="L43" i="13"/>
  <c r="AD40" i="13"/>
  <c r="AG40" i="13"/>
  <c r="K40" i="13" s="1"/>
  <c r="AG53" i="13"/>
  <c r="K53" i="13" s="1"/>
  <c r="AH45" i="13"/>
  <c r="AG51" i="13"/>
  <c r="K51" i="13" s="1"/>
  <c r="AH51" i="13"/>
  <c r="AG48" i="13"/>
  <c r="K48" i="13" s="1"/>
  <c r="AG44" i="13"/>
  <c r="K44" i="13" s="1"/>
  <c r="AH39" i="13"/>
  <c r="V45" i="13"/>
  <c r="L45" i="13"/>
  <c r="L39" i="13"/>
  <c r="AD39" i="13"/>
  <c r="AG39" i="13"/>
  <c r="K39" i="13" s="1"/>
  <c r="V39" i="13"/>
  <c r="AH37" i="13"/>
  <c r="L44" i="13"/>
  <c r="AH40" i="13"/>
  <c r="V37" i="13"/>
  <c r="L37" i="13"/>
  <c r="AH46" i="13"/>
  <c r="V46" i="13"/>
  <c r="AH38" i="13"/>
  <c r="V38" i="13"/>
  <c r="V34" i="13"/>
  <c r="AD34" i="13"/>
  <c r="L31" i="13"/>
  <c r="AH31" i="13"/>
  <c r="L35" i="13"/>
  <c r="AH26" i="13"/>
  <c r="AD27" i="13"/>
  <c r="AG29" i="13"/>
  <c r="K29" i="13" s="1"/>
  <c r="AH27" i="13"/>
  <c r="L26" i="13"/>
  <c r="V29" i="13"/>
  <c r="L29" i="13"/>
  <c r="L18" i="13"/>
  <c r="L23" i="13"/>
  <c r="AD23" i="13"/>
  <c r="AG15" i="13"/>
  <c r="K15" i="13" s="1"/>
  <c r="AD22" i="13"/>
  <c r="AH23" i="13"/>
  <c r="AH15" i="13"/>
  <c r="AG23" i="13"/>
  <c r="K23" i="13" s="1"/>
  <c r="AD15" i="13"/>
  <c r="AD18" i="13"/>
  <c r="P3" i="13"/>
  <c r="V14" i="13"/>
  <c r="L22" i="13"/>
  <c r="V30" i="13"/>
  <c r="V22" i="13"/>
  <c r="AH30" i="13"/>
  <c r="AG30" i="13"/>
  <c r="K30" i="13" s="1"/>
  <c r="AH5" i="13"/>
  <c r="AH29" i="13"/>
  <c r="AH4" i="13"/>
  <c r="L5" i="13"/>
  <c r="V25" i="13"/>
  <c r="AH14" i="13"/>
  <c r="L6" i="13"/>
  <c r="AD10" i="13"/>
  <c r="AG10" i="13"/>
  <c r="K10" i="13" s="1"/>
  <c r="AD5" i="13"/>
  <c r="AD30" i="13"/>
  <c r="AG5" i="13"/>
  <c r="K5" i="13" s="1"/>
  <c r="AD14" i="13"/>
  <c r="AG21" i="13"/>
  <c r="K21" i="13" s="1"/>
  <c r="AG22" i="13"/>
  <c r="K22" i="13" s="1"/>
  <c r="AG25" i="13"/>
  <c r="K25" i="13" s="1"/>
  <c r="AG14" i="13"/>
  <c r="K14" i="13" s="1"/>
  <c r="AH22" i="13"/>
  <c r="AG33" i="13"/>
  <c r="K33" i="13" s="1"/>
  <c r="AH11" i="13"/>
  <c r="V2" i="13"/>
  <c r="AD2" i="13"/>
  <c r="Q3" i="13"/>
  <c r="V12" i="13"/>
  <c r="L12" i="13"/>
  <c r="AG12" i="13"/>
  <c r="K12" i="13" s="1"/>
  <c r="AD12" i="13"/>
  <c r="V16" i="13"/>
  <c r="AG16" i="13"/>
  <c r="K16" i="13" s="1"/>
  <c r="AD16" i="13"/>
  <c r="AG2" i="13"/>
  <c r="K2" i="13" s="1"/>
  <c r="L13" i="13"/>
  <c r="V36" i="13"/>
  <c r="L36" i="13"/>
  <c r="Q21" i="13"/>
  <c r="O24" i="13"/>
  <c r="M3" i="13"/>
  <c r="AG17" i="13"/>
  <c r="K17" i="13" s="1"/>
  <c r="AD17" i="13"/>
  <c r="AH17" i="13"/>
  <c r="M7" i="13"/>
  <c r="U7" i="13"/>
  <c r="AH3" i="13"/>
  <c r="V3" i="13"/>
  <c r="AD3" i="13"/>
  <c r="AG3" i="13"/>
  <c r="K3" i="13" s="1"/>
  <c r="V4" i="13"/>
  <c r="V6" i="13"/>
  <c r="L9" i="13"/>
  <c r="V9" i="13"/>
  <c r="L2" i="13"/>
  <c r="AG6" i="13"/>
  <c r="K6" i="13" s="1"/>
  <c r="AH6" i="13"/>
  <c r="V8" i="13"/>
  <c r="AG8" i="13"/>
  <c r="K8" i="13" s="1"/>
  <c r="AD8" i="13"/>
  <c r="V17" i="13"/>
  <c r="R21" i="13"/>
  <c r="P21" i="13"/>
  <c r="AH36" i="13"/>
  <c r="AG36" i="13"/>
  <c r="K36" i="13" s="1"/>
  <c r="AD36" i="13"/>
  <c r="AH8" i="13"/>
  <c r="AG9" i="13"/>
  <c r="K9" i="13" s="1"/>
  <c r="AD9" i="13"/>
  <c r="L15" i="13"/>
  <c r="AH16" i="13"/>
  <c r="L32" i="13"/>
  <c r="AD7" i="13"/>
  <c r="J7" i="13" s="1"/>
  <c r="AD11" i="13"/>
  <c r="AG13" i="13"/>
  <c r="K13" i="13" s="1"/>
  <c r="AD13" i="13"/>
  <c r="V28" i="13"/>
  <c r="AG28" i="13"/>
  <c r="K28" i="13" s="1"/>
  <c r="AD35" i="13"/>
  <c r="P2" i="13"/>
  <c r="AD4" i="13"/>
  <c r="L7" i="13"/>
  <c r="AG7" i="13"/>
  <c r="K7" i="13" s="1"/>
  <c r="AG11" i="13"/>
  <c r="K11" i="13" s="1"/>
  <c r="L17" i="13"/>
  <c r="V18" i="13"/>
  <c r="V24" i="13"/>
  <c r="AG24" i="13"/>
  <c r="K24" i="13" s="1"/>
  <c r="AD24" i="13"/>
  <c r="AD31" i="13"/>
  <c r="V33" i="13"/>
  <c r="AG35" i="13"/>
  <c r="K35" i="13" s="1"/>
  <c r="V32" i="13"/>
  <c r="AG32" i="13"/>
  <c r="K32" i="13" s="1"/>
  <c r="AD32" i="13"/>
  <c r="L11" i="13"/>
  <c r="AH12" i="13"/>
  <c r="AD19" i="13"/>
  <c r="V20" i="13"/>
  <c r="AG20" i="13"/>
  <c r="K20" i="13" s="1"/>
  <c r="AD20" i="13"/>
  <c r="AG31" i="13"/>
  <c r="K31" i="13" s="1"/>
  <c r="R32" i="13"/>
  <c r="AD21" i="13"/>
  <c r="AD33" i="13"/>
  <c r="I27" i="13"/>
  <c r="N190" i="12"/>
  <c r="N105" i="12"/>
  <c r="M102" i="12"/>
  <c r="M54" i="12"/>
  <c r="R70" i="12"/>
  <c r="R64" i="12"/>
  <c r="Q56" i="12"/>
  <c r="W63" i="12"/>
  <c r="R108" i="12"/>
  <c r="W55" i="12"/>
  <c r="M49" i="12"/>
  <c r="N66" i="12"/>
  <c r="N50" i="12"/>
  <c r="O55" i="12"/>
  <c r="S73" i="12"/>
  <c r="P70" i="12"/>
  <c r="Q58" i="12"/>
  <c r="Q53" i="12"/>
  <c r="R46" i="12"/>
  <c r="U43" i="12"/>
  <c r="S148" i="12"/>
  <c r="N151" i="12"/>
  <c r="U49" i="12"/>
  <c r="M70" i="12"/>
  <c r="N61" i="12"/>
  <c r="O44" i="12"/>
  <c r="U65" i="12"/>
  <c r="P57" i="12"/>
  <c r="H114" i="12"/>
  <c r="M190" i="12"/>
  <c r="I189" i="12"/>
  <c r="P49" i="12"/>
  <c r="M67" i="12"/>
  <c r="N74" i="12"/>
  <c r="N58" i="12"/>
  <c r="O73" i="12"/>
  <c r="O42" i="12"/>
  <c r="P65" i="12"/>
  <c r="R48" i="12"/>
  <c r="U44" i="12"/>
  <c r="O179" i="12"/>
  <c r="M185" i="12"/>
  <c r="M44" i="12"/>
  <c r="U57" i="12"/>
  <c r="H180" i="12"/>
  <c r="W45" i="12"/>
  <c r="M65" i="12"/>
  <c r="N72" i="12"/>
  <c r="N56" i="12"/>
  <c r="O68" i="12"/>
  <c r="S44" i="12"/>
  <c r="H116" i="12"/>
  <c r="R126" i="12"/>
  <c r="M149" i="12"/>
  <c r="M171" i="12"/>
  <c r="S159" i="12"/>
  <c r="Q167" i="12"/>
  <c r="P189" i="12"/>
  <c r="N120" i="12"/>
  <c r="I158" i="12"/>
  <c r="N115" i="12"/>
  <c r="S120" i="12"/>
  <c r="Q138" i="12"/>
  <c r="R96" i="12"/>
  <c r="O96" i="12"/>
  <c r="S96" i="12"/>
  <c r="I125" i="12"/>
  <c r="N125" i="12"/>
  <c r="H125" i="12"/>
  <c r="M125" i="12"/>
  <c r="O125" i="12"/>
  <c r="R125" i="12"/>
  <c r="S125" i="12"/>
  <c r="P125" i="12"/>
  <c r="Q125" i="12"/>
  <c r="H95" i="12"/>
  <c r="O95" i="12"/>
  <c r="S95" i="12"/>
  <c r="I191" i="12"/>
  <c r="P191" i="12"/>
  <c r="H191" i="12"/>
  <c r="O191" i="12"/>
  <c r="M191" i="12"/>
  <c r="N191" i="12"/>
  <c r="Q191" i="12"/>
  <c r="I161" i="12"/>
  <c r="H161" i="12"/>
  <c r="P161" i="12"/>
  <c r="N161" i="12"/>
  <c r="O161" i="12"/>
  <c r="M161" i="12"/>
  <c r="R161" i="12"/>
  <c r="S161" i="12"/>
  <c r="Q161" i="12"/>
  <c r="H137" i="12"/>
  <c r="I137" i="12"/>
  <c r="P137" i="12"/>
  <c r="M137" i="12"/>
  <c r="Q137" i="12"/>
  <c r="R137" i="12"/>
  <c r="S137" i="12"/>
  <c r="H106" i="12"/>
  <c r="I106" i="12"/>
  <c r="P106" i="12"/>
  <c r="M106" i="12"/>
  <c r="O106" i="12"/>
  <c r="R106" i="12"/>
  <c r="Q106" i="12"/>
  <c r="N106" i="12"/>
  <c r="H152" i="12"/>
  <c r="N152" i="12"/>
  <c r="I152" i="12"/>
  <c r="M152" i="12"/>
  <c r="Q152" i="12"/>
  <c r="P152" i="12"/>
  <c r="R152" i="12"/>
  <c r="S152" i="12"/>
  <c r="S144" i="12"/>
  <c r="P136" i="12"/>
  <c r="P113" i="12"/>
  <c r="S179" i="12"/>
  <c r="S128" i="12"/>
  <c r="R191" i="12"/>
  <c r="R121" i="12"/>
  <c r="Q179" i="12"/>
  <c r="Q197" i="12"/>
  <c r="S189" i="12"/>
  <c r="Q181" i="12"/>
  <c r="Q135" i="12"/>
  <c r="Q120" i="12"/>
  <c r="R104" i="12"/>
  <c r="S127" i="12"/>
  <c r="S101" i="12"/>
  <c r="R189" i="12"/>
  <c r="R119" i="12"/>
  <c r="Q136" i="12"/>
  <c r="O168" i="12"/>
  <c r="N137" i="12"/>
  <c r="I145" i="12"/>
  <c r="H145" i="12"/>
  <c r="P145" i="12"/>
  <c r="M145" i="12"/>
  <c r="N145" i="12"/>
  <c r="O145" i="12"/>
  <c r="I114" i="12"/>
  <c r="P114" i="12"/>
  <c r="M114" i="12"/>
  <c r="O114" i="12"/>
  <c r="R114" i="12"/>
  <c r="N114" i="12"/>
  <c r="Q114" i="12"/>
  <c r="Q145" i="12"/>
  <c r="O166" i="12"/>
  <c r="S111" i="12"/>
  <c r="O152" i="12"/>
  <c r="I179" i="12"/>
  <c r="H179" i="12"/>
  <c r="N179" i="12"/>
  <c r="M179" i="12"/>
  <c r="I157" i="12"/>
  <c r="N157" i="12"/>
  <c r="H157" i="12"/>
  <c r="M157" i="12"/>
  <c r="P157" i="12"/>
  <c r="O157" i="12"/>
  <c r="S157" i="12"/>
  <c r="I133" i="12"/>
  <c r="N133" i="12"/>
  <c r="O133" i="12"/>
  <c r="P133" i="12"/>
  <c r="H133" i="12"/>
  <c r="R133" i="12"/>
  <c r="Q133" i="12"/>
  <c r="M133" i="12"/>
  <c r="I118" i="12"/>
  <c r="H118" i="12"/>
  <c r="N118" i="12"/>
  <c r="M118" i="12"/>
  <c r="P118" i="12"/>
  <c r="O118" i="12"/>
  <c r="R118" i="12"/>
  <c r="S118" i="12"/>
  <c r="S119" i="12"/>
  <c r="R144" i="12"/>
  <c r="P119" i="12"/>
  <c r="H194" i="12"/>
  <c r="I194" i="12"/>
  <c r="R194" i="12"/>
  <c r="Q194" i="12"/>
  <c r="M194" i="12"/>
  <c r="P194" i="12"/>
  <c r="N194" i="12"/>
  <c r="S194" i="12"/>
  <c r="H186" i="12"/>
  <c r="I186" i="12"/>
  <c r="M186" i="12"/>
  <c r="N186" i="12"/>
  <c r="O186" i="12"/>
  <c r="P186" i="12"/>
  <c r="R186" i="12"/>
  <c r="S186" i="12"/>
  <c r="H178" i="12"/>
  <c r="I178" i="12"/>
  <c r="N178" i="12"/>
  <c r="M178" i="12"/>
  <c r="R178" i="12"/>
  <c r="O178" i="12"/>
  <c r="Q178" i="12"/>
  <c r="P178" i="12"/>
  <c r="H164" i="12"/>
  <c r="I164" i="12"/>
  <c r="O164" i="12"/>
  <c r="R164" i="12"/>
  <c r="N164" i="12"/>
  <c r="P164" i="12"/>
  <c r="Q164" i="12"/>
  <c r="M164" i="12"/>
  <c r="S164" i="12"/>
  <c r="H156" i="12"/>
  <c r="M156" i="12"/>
  <c r="R156" i="12"/>
  <c r="I156" i="12"/>
  <c r="N156" i="12"/>
  <c r="O156" i="12"/>
  <c r="Q156" i="12"/>
  <c r="H148" i="12"/>
  <c r="I148" i="12"/>
  <c r="M148" i="12"/>
  <c r="P148" i="12"/>
  <c r="N148" i="12"/>
  <c r="R148" i="12"/>
  <c r="Q148" i="12"/>
  <c r="H140" i="12"/>
  <c r="O140" i="12"/>
  <c r="I140" i="12"/>
  <c r="R140" i="12"/>
  <c r="M140" i="12"/>
  <c r="P140" i="12"/>
  <c r="S140" i="12"/>
  <c r="Q140" i="12"/>
  <c r="H132" i="12"/>
  <c r="I132" i="12"/>
  <c r="O132" i="12"/>
  <c r="R132" i="12"/>
  <c r="Q132" i="12"/>
  <c r="N132" i="12"/>
  <c r="S132" i="12"/>
  <c r="H124" i="12"/>
  <c r="I124" i="12"/>
  <c r="M124" i="12"/>
  <c r="N124" i="12"/>
  <c r="O124" i="12"/>
  <c r="P124" i="12"/>
  <c r="R124" i="12"/>
  <c r="S124" i="12"/>
  <c r="H117" i="12"/>
  <c r="I117" i="12"/>
  <c r="N117" i="12"/>
  <c r="M117" i="12"/>
  <c r="R117" i="12"/>
  <c r="P117" i="12"/>
  <c r="Q117" i="12"/>
  <c r="S117" i="12"/>
  <c r="H109" i="12"/>
  <c r="N109" i="12"/>
  <c r="R109" i="12"/>
  <c r="O109" i="12"/>
  <c r="M109" i="12"/>
  <c r="S109" i="12"/>
  <c r="I109" i="12"/>
  <c r="Q109" i="12"/>
  <c r="S191" i="12"/>
  <c r="S168" i="12"/>
  <c r="S143" i="12"/>
  <c r="S116" i="12"/>
  <c r="R138" i="12"/>
  <c r="R103" i="12"/>
  <c r="Q160" i="12"/>
  <c r="Q118" i="12"/>
  <c r="P159" i="12"/>
  <c r="P111" i="12"/>
  <c r="O137" i="12"/>
  <c r="M132" i="12"/>
  <c r="H171" i="12"/>
  <c r="O171" i="12"/>
  <c r="N171" i="12"/>
  <c r="I171" i="12"/>
  <c r="Q171" i="12"/>
  <c r="S171" i="12"/>
  <c r="P171" i="12"/>
  <c r="R171" i="12"/>
  <c r="H169" i="12"/>
  <c r="I169" i="12"/>
  <c r="P169" i="12"/>
  <c r="M169" i="12"/>
  <c r="O169" i="12"/>
  <c r="R169" i="12"/>
  <c r="Q169" i="12"/>
  <c r="N169" i="12"/>
  <c r="S169" i="12"/>
  <c r="I129" i="12"/>
  <c r="H129" i="12"/>
  <c r="P129" i="12"/>
  <c r="N129" i="12"/>
  <c r="S129" i="12"/>
  <c r="M129" i="12"/>
  <c r="R129" i="12"/>
  <c r="Q129" i="12"/>
  <c r="O129" i="12"/>
  <c r="R188" i="12"/>
  <c r="O103" i="12"/>
  <c r="Q168" i="12"/>
  <c r="I187" i="12"/>
  <c r="N187" i="12"/>
  <c r="H187" i="12"/>
  <c r="M187" i="12"/>
  <c r="P187" i="12"/>
  <c r="R187" i="12"/>
  <c r="O187" i="12"/>
  <c r="S187" i="12"/>
  <c r="I165" i="12"/>
  <c r="N165" i="12"/>
  <c r="O165" i="12"/>
  <c r="P165" i="12"/>
  <c r="Q165" i="12"/>
  <c r="R165" i="12"/>
  <c r="H165" i="12"/>
  <c r="M165" i="12"/>
  <c r="S165" i="12"/>
  <c r="I141" i="12"/>
  <c r="N141" i="12"/>
  <c r="O141" i="12"/>
  <c r="M141" i="12"/>
  <c r="Q141" i="12"/>
  <c r="R141" i="12"/>
  <c r="H141" i="12"/>
  <c r="P141" i="12"/>
  <c r="I102" i="12"/>
  <c r="H102" i="12"/>
  <c r="N102" i="12"/>
  <c r="P102" i="12"/>
  <c r="Q102" i="12"/>
  <c r="R102" i="12"/>
  <c r="S102" i="12"/>
  <c r="S145" i="12"/>
  <c r="R179" i="12"/>
  <c r="S190" i="12"/>
  <c r="S167" i="12"/>
  <c r="S141" i="12"/>
  <c r="S114" i="12"/>
  <c r="R136" i="12"/>
  <c r="R101" i="12"/>
  <c r="Q157" i="12"/>
  <c r="P156" i="12"/>
  <c r="P109" i="12"/>
  <c r="O194" i="12"/>
  <c r="O134" i="12"/>
  <c r="H183" i="12"/>
  <c r="I183" i="12"/>
  <c r="P183" i="12"/>
  <c r="O183" i="12"/>
  <c r="N183" i="12"/>
  <c r="Q183" i="12"/>
  <c r="M183" i="12"/>
  <c r="R183" i="12"/>
  <c r="H153" i="12"/>
  <c r="I153" i="12"/>
  <c r="P153" i="12"/>
  <c r="N153" i="12"/>
  <c r="Q153" i="12"/>
  <c r="O153" i="12"/>
  <c r="M153" i="12"/>
  <c r="R153" i="12"/>
  <c r="H122" i="12"/>
  <c r="P122" i="12"/>
  <c r="O122" i="12"/>
  <c r="N122" i="12"/>
  <c r="Q122" i="12"/>
  <c r="M122" i="12"/>
  <c r="S122" i="12"/>
  <c r="I122" i="12"/>
  <c r="R122" i="12"/>
  <c r="S126" i="12"/>
  <c r="R180" i="12"/>
  <c r="R145" i="12"/>
  <c r="P168" i="12"/>
  <c r="I149" i="12"/>
  <c r="H149" i="12"/>
  <c r="N149" i="12"/>
  <c r="O149" i="12"/>
  <c r="Q149" i="12"/>
  <c r="S149" i="12"/>
  <c r="P149" i="12"/>
  <c r="R149" i="12"/>
  <c r="I110" i="12"/>
  <c r="N110" i="12"/>
  <c r="M110" i="12"/>
  <c r="O110" i="12"/>
  <c r="Q110" i="12"/>
  <c r="H110" i="12"/>
  <c r="P110" i="12"/>
  <c r="S110" i="12"/>
  <c r="M192" i="12"/>
  <c r="I192" i="12"/>
  <c r="H192" i="12"/>
  <c r="P192" i="12"/>
  <c r="N192" i="12"/>
  <c r="Q192" i="12"/>
  <c r="S192" i="12"/>
  <c r="O192" i="12"/>
  <c r="R192" i="12"/>
  <c r="I184" i="12"/>
  <c r="M184" i="12"/>
  <c r="H184" i="12"/>
  <c r="R184" i="12"/>
  <c r="S184" i="12"/>
  <c r="N184" i="12"/>
  <c r="Q184" i="12"/>
  <c r="O184" i="12"/>
  <c r="P184" i="12"/>
  <c r="I170" i="12"/>
  <c r="H170" i="12"/>
  <c r="M170" i="12"/>
  <c r="N170" i="12"/>
  <c r="P170" i="12"/>
  <c r="S170" i="12"/>
  <c r="R170" i="12"/>
  <c r="O170" i="12"/>
  <c r="Q170" i="12"/>
  <c r="I162" i="12"/>
  <c r="M162" i="12"/>
  <c r="N162" i="12"/>
  <c r="H162" i="12"/>
  <c r="Q162" i="12"/>
  <c r="O162" i="12"/>
  <c r="S162" i="12"/>
  <c r="P162" i="12"/>
  <c r="I154" i="12"/>
  <c r="H154" i="12"/>
  <c r="M154" i="12"/>
  <c r="N154" i="12"/>
  <c r="O154" i="12"/>
  <c r="S154" i="12"/>
  <c r="P154" i="12"/>
  <c r="Q154" i="12"/>
  <c r="I146" i="12"/>
  <c r="M146" i="12"/>
  <c r="N146" i="12"/>
  <c r="S146" i="12"/>
  <c r="H146" i="12"/>
  <c r="O146" i="12"/>
  <c r="P146" i="12"/>
  <c r="R146" i="12"/>
  <c r="I138" i="12"/>
  <c r="H138" i="12"/>
  <c r="M138" i="12"/>
  <c r="P138" i="12"/>
  <c r="S138" i="12"/>
  <c r="N138" i="12"/>
  <c r="O138" i="12"/>
  <c r="I130" i="12"/>
  <c r="H130" i="12"/>
  <c r="M130" i="12"/>
  <c r="O130" i="12"/>
  <c r="P130" i="12"/>
  <c r="N130" i="12"/>
  <c r="S130" i="12"/>
  <c r="Q130" i="12"/>
  <c r="R130" i="12"/>
  <c r="I123" i="12"/>
  <c r="M123" i="12"/>
  <c r="H123" i="12"/>
  <c r="O123" i="12"/>
  <c r="S123" i="12"/>
  <c r="R123" i="12"/>
  <c r="Q123" i="12"/>
  <c r="P123" i="12"/>
  <c r="N123" i="12"/>
  <c r="I115" i="12"/>
  <c r="H115" i="12"/>
  <c r="M115" i="12"/>
  <c r="O115" i="12"/>
  <c r="S115" i="12"/>
  <c r="P115" i="12"/>
  <c r="R115" i="12"/>
  <c r="I107" i="12"/>
  <c r="H107" i="12"/>
  <c r="M107" i="12"/>
  <c r="N107" i="12"/>
  <c r="P107" i="12"/>
  <c r="S107" i="12"/>
  <c r="O107" i="12"/>
  <c r="R107" i="12"/>
  <c r="Q107" i="12"/>
  <c r="S183" i="12"/>
  <c r="S160" i="12"/>
  <c r="S135" i="12"/>
  <c r="S106" i="12"/>
  <c r="R163" i="12"/>
  <c r="R127" i="12"/>
  <c r="Q187" i="12"/>
  <c r="Q146" i="12"/>
  <c r="Q105" i="12"/>
  <c r="P190" i="12"/>
  <c r="P144" i="12"/>
  <c r="O181" i="12"/>
  <c r="O117" i="12"/>
  <c r="I193" i="12"/>
  <c r="O193" i="12"/>
  <c r="H193" i="12"/>
  <c r="Q193" i="12"/>
  <c r="M193" i="12"/>
  <c r="R193" i="12"/>
  <c r="S193" i="12"/>
  <c r="P193" i="12"/>
  <c r="I185" i="12"/>
  <c r="H185" i="12"/>
  <c r="O185" i="12"/>
  <c r="Q185" i="12"/>
  <c r="P185" i="12"/>
  <c r="R185" i="12"/>
  <c r="S185" i="12"/>
  <c r="I177" i="12"/>
  <c r="O177" i="12"/>
  <c r="N177" i="12"/>
  <c r="M177" i="12"/>
  <c r="Q177" i="12"/>
  <c r="P177" i="12"/>
  <c r="R177" i="12"/>
  <c r="S177" i="12"/>
  <c r="H163" i="12"/>
  <c r="I163" i="12"/>
  <c r="O163" i="12"/>
  <c r="N163" i="12"/>
  <c r="Q163" i="12"/>
  <c r="M163" i="12"/>
  <c r="P163" i="12"/>
  <c r="S163" i="12"/>
  <c r="I155" i="12"/>
  <c r="H155" i="12"/>
  <c r="O155" i="12"/>
  <c r="Q155" i="12"/>
  <c r="S155" i="12"/>
  <c r="R155" i="12"/>
  <c r="I147" i="12"/>
  <c r="O147" i="12"/>
  <c r="M147" i="12"/>
  <c r="Q147" i="12"/>
  <c r="N147" i="12"/>
  <c r="S147" i="12"/>
  <c r="H139" i="12"/>
  <c r="I139" i="12"/>
  <c r="O139" i="12"/>
  <c r="P139" i="12"/>
  <c r="Q139" i="12"/>
  <c r="N139" i="12"/>
  <c r="M139" i="12"/>
  <c r="S139" i="12"/>
  <c r="I131" i="12"/>
  <c r="O131" i="12"/>
  <c r="H131" i="12"/>
  <c r="Q131" i="12"/>
  <c r="M131" i="12"/>
  <c r="R131" i="12"/>
  <c r="N131" i="12"/>
  <c r="S131" i="12"/>
  <c r="I116" i="12"/>
  <c r="O116" i="12"/>
  <c r="N116" i="12"/>
  <c r="M116" i="12"/>
  <c r="Q116" i="12"/>
  <c r="P116" i="12"/>
  <c r="R116" i="12"/>
  <c r="H108" i="12"/>
  <c r="O108" i="12"/>
  <c r="N108" i="12"/>
  <c r="I108" i="12"/>
  <c r="Q108" i="12"/>
  <c r="S108" i="12"/>
  <c r="I101" i="12"/>
  <c r="O101" i="12"/>
  <c r="N101" i="12"/>
  <c r="Q101" i="12"/>
  <c r="M101" i="12"/>
  <c r="S181" i="12"/>
  <c r="R158" i="12"/>
  <c r="R139" i="12"/>
  <c r="N142" i="12"/>
  <c r="H101" i="12"/>
  <c r="H190" i="12"/>
  <c r="I190" i="12"/>
  <c r="O190" i="12"/>
  <c r="R190" i="12"/>
  <c r="I182" i="12"/>
  <c r="H182" i="12"/>
  <c r="P182" i="12"/>
  <c r="M182" i="12"/>
  <c r="Q182" i="12"/>
  <c r="N182" i="12"/>
  <c r="O182" i="12"/>
  <c r="Q174" i="12"/>
  <c r="H168" i="12"/>
  <c r="I168" i="12"/>
  <c r="M168" i="12"/>
  <c r="R168" i="12"/>
  <c r="N168" i="12"/>
  <c r="H160" i="12"/>
  <c r="I160" i="12"/>
  <c r="O160" i="12"/>
  <c r="P160" i="12"/>
  <c r="M160" i="12"/>
  <c r="R160" i="12"/>
  <c r="I144" i="12"/>
  <c r="N144" i="12"/>
  <c r="H144" i="12"/>
  <c r="O144" i="12"/>
  <c r="Q144" i="12"/>
  <c r="I136" i="12"/>
  <c r="H136" i="12"/>
  <c r="M136" i="12"/>
  <c r="N136" i="12"/>
  <c r="O136" i="12"/>
  <c r="H128" i="12"/>
  <c r="I128" i="12"/>
  <c r="N128" i="12"/>
  <c r="O128" i="12"/>
  <c r="P128" i="12"/>
  <c r="R128" i="12"/>
  <c r="H121" i="12"/>
  <c r="I121" i="12"/>
  <c r="P121" i="12"/>
  <c r="M121" i="12"/>
  <c r="Q121" i="12"/>
  <c r="S121" i="12"/>
  <c r="N121" i="12"/>
  <c r="I113" i="12"/>
  <c r="H113" i="12"/>
  <c r="O113" i="12"/>
  <c r="N113" i="12"/>
  <c r="Q113" i="12"/>
  <c r="S113" i="12"/>
  <c r="H105" i="12"/>
  <c r="I105" i="12"/>
  <c r="M105" i="12"/>
  <c r="O105" i="12"/>
  <c r="R105" i="12"/>
  <c r="P105" i="12"/>
  <c r="R135" i="12"/>
  <c r="P155" i="12"/>
  <c r="P131" i="12"/>
  <c r="P108" i="12"/>
  <c r="H177" i="12"/>
  <c r="I197" i="12"/>
  <c r="H189" i="12"/>
  <c r="M189" i="12"/>
  <c r="N189" i="12"/>
  <c r="O189" i="12"/>
  <c r="Q189" i="12"/>
  <c r="H181" i="12"/>
  <c r="M181" i="12"/>
  <c r="I181" i="12"/>
  <c r="N181" i="12"/>
  <c r="R181" i="12"/>
  <c r="H167" i="12"/>
  <c r="M167" i="12"/>
  <c r="I167" i="12"/>
  <c r="O167" i="12"/>
  <c r="N167" i="12"/>
  <c r="H159" i="12"/>
  <c r="I159" i="12"/>
  <c r="M159" i="12"/>
  <c r="O159" i="12"/>
  <c r="R159" i="12"/>
  <c r="Q159" i="12"/>
  <c r="H151" i="12"/>
  <c r="I151" i="12"/>
  <c r="M151" i="12"/>
  <c r="O151" i="12"/>
  <c r="P151" i="12"/>
  <c r="R151" i="12"/>
  <c r="H143" i="12"/>
  <c r="I143" i="12"/>
  <c r="M143" i="12"/>
  <c r="N143" i="12"/>
  <c r="O143" i="12"/>
  <c r="Q143" i="12"/>
  <c r="R143" i="12"/>
  <c r="H135" i="12"/>
  <c r="M135" i="12"/>
  <c r="I135" i="12"/>
  <c r="N135" i="12"/>
  <c r="O135" i="12"/>
  <c r="H127" i="12"/>
  <c r="I127" i="12"/>
  <c r="M127" i="12"/>
  <c r="N127" i="12"/>
  <c r="O127" i="12"/>
  <c r="P127" i="12"/>
  <c r="Q127" i="12"/>
  <c r="H120" i="12"/>
  <c r="M120" i="12"/>
  <c r="I120" i="12"/>
  <c r="R120" i="12"/>
  <c r="H112" i="12"/>
  <c r="I112" i="12"/>
  <c r="M112" i="12"/>
  <c r="P112" i="12"/>
  <c r="N112" i="12"/>
  <c r="Q112" i="12"/>
  <c r="S112" i="12"/>
  <c r="H104" i="12"/>
  <c r="I104" i="12"/>
  <c r="M104" i="12"/>
  <c r="O104" i="12"/>
  <c r="N104" i="12"/>
  <c r="P104" i="12"/>
  <c r="S104" i="12"/>
  <c r="S151" i="12"/>
  <c r="R167" i="12"/>
  <c r="R113" i="12"/>
  <c r="Q151" i="12"/>
  <c r="O121" i="12"/>
  <c r="N160" i="12"/>
  <c r="M155" i="12"/>
  <c r="M113" i="12"/>
  <c r="N196" i="12"/>
  <c r="H188" i="12"/>
  <c r="N188" i="12"/>
  <c r="M188" i="12"/>
  <c r="Q188" i="12"/>
  <c r="O188" i="12"/>
  <c r="P188" i="12"/>
  <c r="S188" i="12"/>
  <c r="N180" i="12"/>
  <c r="O180" i="12"/>
  <c r="Q180" i="12"/>
  <c r="M180" i="12"/>
  <c r="I180" i="12"/>
  <c r="P180" i="12"/>
  <c r="S180" i="12"/>
  <c r="Q172" i="12"/>
  <c r="I166" i="12"/>
  <c r="H166" i="12"/>
  <c r="M166" i="12"/>
  <c r="P166" i="12"/>
  <c r="Q166" i="12"/>
  <c r="N166" i="12"/>
  <c r="S166" i="12"/>
  <c r="O158" i="12"/>
  <c r="H158" i="12"/>
  <c r="M158" i="12"/>
  <c r="N158" i="12"/>
  <c r="Q158" i="12"/>
  <c r="P158" i="12"/>
  <c r="S158" i="12"/>
  <c r="H150" i="12"/>
  <c r="O150" i="12"/>
  <c r="Q150" i="12"/>
  <c r="P150" i="12"/>
  <c r="R150" i="12"/>
  <c r="I150" i="12"/>
  <c r="N150" i="12"/>
  <c r="M150" i="12"/>
  <c r="S150" i="12"/>
  <c r="H142" i="12"/>
  <c r="O142" i="12"/>
  <c r="P142" i="12"/>
  <c r="Q142" i="12"/>
  <c r="I142" i="12"/>
  <c r="R142" i="12"/>
  <c r="M142" i="12"/>
  <c r="S142" i="12"/>
  <c r="I134" i="12"/>
  <c r="H134" i="12"/>
  <c r="M134" i="12"/>
  <c r="N134" i="12"/>
  <c r="Q134" i="12"/>
  <c r="R134" i="12"/>
  <c r="P134" i="12"/>
  <c r="S134" i="12"/>
  <c r="H126" i="12"/>
  <c r="N126" i="12"/>
  <c r="M126" i="12"/>
  <c r="Q126" i="12"/>
  <c r="P126" i="12"/>
  <c r="O126" i="12"/>
  <c r="H119" i="12"/>
  <c r="N119" i="12"/>
  <c r="O119" i="12"/>
  <c r="Q119" i="12"/>
  <c r="M119" i="12"/>
  <c r="I119" i="12"/>
  <c r="I111" i="12"/>
  <c r="H111" i="12"/>
  <c r="Q111" i="12"/>
  <c r="N111" i="12"/>
  <c r="O111" i="12"/>
  <c r="R111" i="12"/>
  <c r="I103" i="12"/>
  <c r="H103" i="12"/>
  <c r="M103" i="12"/>
  <c r="P103" i="12"/>
  <c r="Q103" i="12"/>
  <c r="S103" i="12"/>
  <c r="N103" i="12"/>
  <c r="S136" i="12"/>
  <c r="R182" i="12"/>
  <c r="R166" i="12"/>
  <c r="R147" i="12"/>
  <c r="R112" i="12"/>
  <c r="Q190" i="12"/>
  <c r="Q128" i="12"/>
  <c r="P147" i="12"/>
  <c r="P101" i="12"/>
  <c r="O120" i="12"/>
  <c r="N193" i="12"/>
  <c r="N159" i="12"/>
  <c r="M111" i="12"/>
  <c r="H147" i="12"/>
  <c r="O97" i="12"/>
  <c r="S97" i="12"/>
  <c r="M97" i="12"/>
  <c r="R97" i="12"/>
  <c r="N97" i="12"/>
  <c r="H97" i="12"/>
  <c r="P97" i="12"/>
  <c r="Q97" i="12"/>
  <c r="I97" i="12"/>
  <c r="I94" i="12"/>
  <c r="M94" i="12"/>
  <c r="Q94" i="12"/>
  <c r="O94" i="12"/>
  <c r="P94" i="12"/>
  <c r="S94" i="12"/>
  <c r="H94" i="12"/>
  <c r="N94" i="12"/>
  <c r="R94" i="12"/>
  <c r="I93" i="12"/>
  <c r="M93" i="12"/>
  <c r="Q93" i="12"/>
  <c r="S93" i="12"/>
  <c r="O93" i="12"/>
  <c r="N93" i="12"/>
  <c r="R93" i="12"/>
  <c r="H93" i="12"/>
  <c r="P93" i="12"/>
  <c r="M98" i="12"/>
  <c r="O98" i="12"/>
  <c r="S98" i="12"/>
  <c r="Q98" i="12"/>
  <c r="R98" i="12"/>
  <c r="H98" i="12"/>
  <c r="P98" i="12"/>
  <c r="I98" i="12"/>
  <c r="N98" i="12"/>
  <c r="N100" i="12"/>
  <c r="R100" i="12"/>
  <c r="M100" i="12"/>
  <c r="H100" i="12"/>
  <c r="I100" i="12"/>
  <c r="O100" i="12"/>
  <c r="S100" i="12"/>
  <c r="P100" i="12"/>
  <c r="Q100" i="12"/>
  <c r="H92" i="12"/>
  <c r="P92" i="12"/>
  <c r="Q92" i="12"/>
  <c r="N92" i="12"/>
  <c r="R92" i="12"/>
  <c r="I92" i="12"/>
  <c r="M92" i="12"/>
  <c r="O92" i="12"/>
  <c r="S92" i="12"/>
  <c r="N99" i="12"/>
  <c r="R99" i="12"/>
  <c r="I99" i="12"/>
  <c r="H99" i="12"/>
  <c r="M99" i="12"/>
  <c r="Q99" i="12"/>
  <c r="O99" i="12"/>
  <c r="S99" i="12"/>
  <c r="P99" i="12"/>
  <c r="N91" i="12"/>
  <c r="R91" i="12"/>
  <c r="H91" i="12"/>
  <c r="P91" i="12"/>
  <c r="Q91" i="12"/>
  <c r="O91" i="12"/>
  <c r="S91" i="12"/>
  <c r="M91" i="12"/>
  <c r="I91" i="12"/>
  <c r="N96" i="12"/>
  <c r="R95" i="12"/>
  <c r="Q96" i="12"/>
  <c r="M96" i="12"/>
  <c r="I96" i="12"/>
  <c r="N95" i="12"/>
  <c r="Q95" i="12"/>
  <c r="M95" i="12"/>
  <c r="I95" i="12"/>
  <c r="P96" i="12"/>
  <c r="H96" i="12"/>
  <c r="P95" i="12"/>
  <c r="N90" i="12"/>
  <c r="O90" i="12"/>
  <c r="Q90" i="12"/>
  <c r="H90" i="12"/>
  <c r="P90" i="12"/>
  <c r="I90" i="12"/>
  <c r="M90" i="12"/>
  <c r="R90" i="12"/>
  <c r="S90" i="12"/>
  <c r="O36" i="12"/>
  <c r="O30" i="12"/>
  <c r="Q88" i="12"/>
  <c r="N88" i="12"/>
  <c r="S88" i="12"/>
  <c r="J86" i="12"/>
  <c r="U86" i="12"/>
  <c r="O89" i="12"/>
  <c r="U89" i="12"/>
  <c r="M89" i="12"/>
  <c r="S89" i="12"/>
  <c r="P89" i="12"/>
  <c r="R89" i="12"/>
  <c r="M86" i="12"/>
  <c r="P86" i="12"/>
  <c r="N85" i="12"/>
  <c r="Q82" i="12"/>
  <c r="U81" i="12"/>
  <c r="U83" i="12"/>
  <c r="R83" i="12"/>
  <c r="N83" i="12"/>
  <c r="H83" i="12"/>
  <c r="M83" i="12"/>
  <c r="S81" i="12"/>
  <c r="O81" i="12"/>
  <c r="R81" i="12"/>
  <c r="R80" i="12"/>
  <c r="Q80" i="12"/>
  <c r="N80" i="12"/>
  <c r="U78" i="12"/>
  <c r="R78" i="12"/>
  <c r="J78" i="12"/>
  <c r="P78" i="12"/>
  <c r="M78" i="12"/>
  <c r="U75" i="12"/>
  <c r="N75" i="12"/>
  <c r="R75" i="12"/>
  <c r="Q74" i="12"/>
  <c r="R72" i="12"/>
  <c r="Q72" i="12"/>
  <c r="R71" i="12"/>
  <c r="M71" i="12"/>
  <c r="U71" i="12"/>
  <c r="N79" i="12"/>
  <c r="P79" i="12"/>
  <c r="P71" i="12"/>
  <c r="P47" i="12"/>
  <c r="N29" i="12"/>
  <c r="Q62" i="12"/>
  <c r="S62" i="12"/>
  <c r="O62" i="12"/>
  <c r="N62" i="12"/>
  <c r="W62" i="12"/>
  <c r="Q54" i="12"/>
  <c r="S54" i="12"/>
  <c r="O54" i="12"/>
  <c r="W54" i="12"/>
  <c r="N54" i="12"/>
  <c r="U42" i="12"/>
  <c r="P42" i="12"/>
  <c r="W42" i="12"/>
  <c r="R42" i="12"/>
  <c r="M42" i="12"/>
  <c r="M62" i="12"/>
  <c r="O82" i="12"/>
  <c r="O66" i="12"/>
  <c r="U84" i="12"/>
  <c r="U76" i="12"/>
  <c r="U68" i="12"/>
  <c r="U60" i="12"/>
  <c r="U52" i="12"/>
  <c r="W50" i="12"/>
  <c r="S48" i="12"/>
  <c r="U48" i="12"/>
  <c r="M48" i="12"/>
  <c r="P48" i="12"/>
  <c r="O48" i="12"/>
  <c r="P85" i="12"/>
  <c r="M85" i="12"/>
  <c r="R85" i="12"/>
  <c r="O85" i="12"/>
  <c r="S85" i="12"/>
  <c r="U85" i="12"/>
  <c r="P77" i="12"/>
  <c r="M77" i="12"/>
  <c r="R77" i="12"/>
  <c r="O77" i="12"/>
  <c r="S77" i="12"/>
  <c r="U77" i="12"/>
  <c r="P69" i="12"/>
  <c r="M69" i="12"/>
  <c r="W69" i="12"/>
  <c r="R69" i="12"/>
  <c r="O69" i="12"/>
  <c r="S69" i="12"/>
  <c r="U69" i="12"/>
  <c r="M76" i="12"/>
  <c r="M60" i="12"/>
  <c r="O65" i="12"/>
  <c r="S84" i="12"/>
  <c r="S82" i="12"/>
  <c r="S76" i="12"/>
  <c r="S68" i="12"/>
  <c r="U62" i="12"/>
  <c r="S60" i="12"/>
  <c r="U54" i="12"/>
  <c r="S52" i="12"/>
  <c r="S42" i="12"/>
  <c r="R87" i="12"/>
  <c r="M87" i="12"/>
  <c r="U87" i="12"/>
  <c r="Q60" i="12"/>
  <c r="R60" i="12"/>
  <c r="N60" i="12"/>
  <c r="P76" i="12"/>
  <c r="P68" i="12"/>
  <c r="P60" i="12"/>
  <c r="P52" i="12"/>
  <c r="W57" i="12"/>
  <c r="H82" i="12"/>
  <c r="Q34" i="12"/>
  <c r="O59" i="12"/>
  <c r="P59" i="12"/>
  <c r="N59" i="12"/>
  <c r="Q59" i="12"/>
  <c r="S59" i="12"/>
  <c r="W59" i="12"/>
  <c r="O51" i="12"/>
  <c r="W51" i="12"/>
  <c r="P51" i="12"/>
  <c r="N51" i="12"/>
  <c r="Q51" i="12"/>
  <c r="S51" i="12"/>
  <c r="W67" i="12"/>
  <c r="N42" i="12"/>
  <c r="O60" i="12"/>
  <c r="P62" i="12"/>
  <c r="P54" i="12"/>
  <c r="Q48" i="12"/>
  <c r="R47" i="12"/>
  <c r="M47" i="12"/>
  <c r="W47" i="12"/>
  <c r="U47" i="12"/>
  <c r="Q84" i="12"/>
  <c r="R84" i="12"/>
  <c r="N84" i="12"/>
  <c r="H76" i="12"/>
  <c r="Q76" i="12"/>
  <c r="R76" i="12"/>
  <c r="N76" i="12"/>
  <c r="O79" i="12"/>
  <c r="O47" i="12"/>
  <c r="U74" i="12"/>
  <c r="P74" i="12"/>
  <c r="R74" i="12"/>
  <c r="M74" i="12"/>
  <c r="U66" i="12"/>
  <c r="P66" i="12"/>
  <c r="W66" i="12"/>
  <c r="R66" i="12"/>
  <c r="M66" i="12"/>
  <c r="O74" i="12"/>
  <c r="N65" i="12"/>
  <c r="Q65" i="12"/>
  <c r="N57" i="12"/>
  <c r="Q57" i="12"/>
  <c r="N49" i="12"/>
  <c r="Q49" i="12"/>
  <c r="W49" i="12"/>
  <c r="M84" i="12"/>
  <c r="O57" i="12"/>
  <c r="S87" i="12"/>
  <c r="S71" i="12"/>
  <c r="S65" i="12"/>
  <c r="S57" i="12"/>
  <c r="S49" i="12"/>
  <c r="S47" i="12"/>
  <c r="W71" i="12"/>
  <c r="R79" i="12"/>
  <c r="M79" i="12"/>
  <c r="U79" i="12"/>
  <c r="Q52" i="12"/>
  <c r="W52" i="12"/>
  <c r="R52" i="12"/>
  <c r="N52" i="12"/>
  <c r="Q68" i="12"/>
  <c r="R68" i="12"/>
  <c r="N68" i="12"/>
  <c r="N87" i="12"/>
  <c r="P45" i="12"/>
  <c r="M45" i="12"/>
  <c r="R45" i="12"/>
  <c r="O45" i="12"/>
  <c r="S45" i="12"/>
  <c r="U45" i="12"/>
  <c r="U82" i="12"/>
  <c r="P82" i="12"/>
  <c r="R82" i="12"/>
  <c r="M82" i="12"/>
  <c r="N71" i="12"/>
  <c r="W64" i="12"/>
  <c r="M51" i="12"/>
  <c r="O87" i="12"/>
  <c r="O71" i="12"/>
  <c r="Q87" i="12"/>
  <c r="Q85" i="12"/>
  <c r="Q79" i="12"/>
  <c r="Q77" i="12"/>
  <c r="Q71" i="12"/>
  <c r="Q69" i="12"/>
  <c r="R65" i="12"/>
  <c r="R59" i="12"/>
  <c r="R57" i="12"/>
  <c r="R51" i="12"/>
  <c r="R49" i="12"/>
  <c r="Q47" i="12"/>
  <c r="Q45" i="12"/>
  <c r="W43" i="12"/>
  <c r="W68" i="12"/>
  <c r="H86" i="12"/>
  <c r="H75" i="12"/>
  <c r="M58" i="12"/>
  <c r="M50" i="12"/>
  <c r="N86" i="12"/>
  <c r="N78" i="12"/>
  <c r="N70" i="12"/>
  <c r="N46" i="12"/>
  <c r="O88" i="12"/>
  <c r="O80" i="12"/>
  <c r="O72" i="12"/>
  <c r="O64" i="12"/>
  <c r="O56" i="12"/>
  <c r="Q89" i="12"/>
  <c r="P88" i="12"/>
  <c r="S83" i="12"/>
  <c r="Q81" i="12"/>
  <c r="P80" i="12"/>
  <c r="S75" i="12"/>
  <c r="P72" i="12"/>
  <c r="S67" i="12"/>
  <c r="P64" i="12"/>
  <c r="U61" i="12"/>
  <c r="R58" i="12"/>
  <c r="P56" i="12"/>
  <c r="U53" i="12"/>
  <c r="R50" i="12"/>
  <c r="S43" i="12"/>
  <c r="S36" i="12"/>
  <c r="S12" i="12"/>
  <c r="W58" i="12"/>
  <c r="H87" i="12"/>
  <c r="H73" i="12"/>
  <c r="H89" i="12"/>
  <c r="M88" i="12"/>
  <c r="M80" i="12"/>
  <c r="M72" i="12"/>
  <c r="M64" i="12"/>
  <c r="M56" i="12"/>
  <c r="N44" i="12"/>
  <c r="O86" i="12"/>
  <c r="O78" i="12"/>
  <c r="O70" i="12"/>
  <c r="O46" i="12"/>
  <c r="Q83" i="12"/>
  <c r="Q75" i="12"/>
  <c r="Q67" i="12"/>
  <c r="U63" i="12"/>
  <c r="S61" i="12"/>
  <c r="P58" i="12"/>
  <c r="U55" i="12"/>
  <c r="S53" i="12"/>
  <c r="P50" i="12"/>
  <c r="R44" i="12"/>
  <c r="Q43" i="12"/>
  <c r="W56" i="12"/>
  <c r="W70" i="12"/>
  <c r="H84" i="12"/>
  <c r="H88" i="12"/>
  <c r="M63" i="12"/>
  <c r="M55" i="12"/>
  <c r="N43" i="12"/>
  <c r="O61" i="12"/>
  <c r="O53" i="12"/>
  <c r="U88" i="12"/>
  <c r="S86" i="12"/>
  <c r="P83" i="12"/>
  <c r="U80" i="12"/>
  <c r="S78" i="12"/>
  <c r="P75" i="12"/>
  <c r="U72" i="12"/>
  <c r="S70" i="12"/>
  <c r="P67" i="12"/>
  <c r="U64" i="12"/>
  <c r="R61" i="12"/>
  <c r="U56" i="12"/>
  <c r="R53" i="12"/>
  <c r="S46" i="12"/>
  <c r="Q44" i="12"/>
  <c r="P43" i="12"/>
  <c r="W46" i="12"/>
  <c r="W61" i="12"/>
  <c r="H81" i="12"/>
  <c r="H85" i="12"/>
  <c r="M61" i="12"/>
  <c r="M53" i="12"/>
  <c r="N89" i="12"/>
  <c r="N81" i="12"/>
  <c r="N73" i="12"/>
  <c r="O75" i="12"/>
  <c r="O67" i="12"/>
  <c r="S64" i="12"/>
  <c r="R55" i="12"/>
  <c r="W13" i="12"/>
  <c r="H78" i="12"/>
  <c r="P36" i="12"/>
  <c r="Q21" i="12"/>
  <c r="H72" i="12"/>
  <c r="H69" i="12"/>
  <c r="W21" i="12"/>
  <c r="H74" i="12"/>
  <c r="H79" i="12"/>
  <c r="H66" i="12"/>
  <c r="H70" i="12"/>
  <c r="H80" i="12"/>
  <c r="H77" i="12"/>
  <c r="H68" i="12"/>
  <c r="H71" i="12"/>
  <c r="H67" i="12"/>
  <c r="J62" i="12"/>
  <c r="J57" i="12"/>
  <c r="H58" i="12"/>
  <c r="J89" i="12"/>
  <c r="J73" i="12"/>
  <c r="J65" i="12"/>
  <c r="H57" i="12"/>
  <c r="H51" i="12"/>
  <c r="I60" i="12"/>
  <c r="I76" i="12"/>
  <c r="J79" i="12"/>
  <c r="J49" i="12"/>
  <c r="J51" i="12"/>
  <c r="I59" i="12"/>
  <c r="I68" i="12"/>
  <c r="AL6" i="12"/>
  <c r="I52" i="12"/>
  <c r="J42" i="12"/>
  <c r="J52" i="12"/>
  <c r="I84" i="12"/>
  <c r="I46" i="12"/>
  <c r="I61" i="12"/>
  <c r="I67" i="12"/>
  <c r="J80" i="12"/>
  <c r="J87" i="12"/>
  <c r="J46" i="12"/>
  <c r="H49" i="12"/>
  <c r="I26" i="12"/>
  <c r="J60" i="12"/>
  <c r="I62" i="12"/>
  <c r="J68" i="12"/>
  <c r="J76" i="12"/>
  <c r="I78" i="12"/>
  <c r="I42" i="12"/>
  <c r="I77" i="12"/>
  <c r="J84" i="12"/>
  <c r="I49" i="12"/>
  <c r="J45" i="12"/>
  <c r="H45" i="12"/>
  <c r="I45" i="12"/>
  <c r="J70" i="12"/>
  <c r="I70" i="12"/>
  <c r="J56" i="12"/>
  <c r="I56" i="12"/>
  <c r="H56" i="12"/>
  <c r="H44" i="12"/>
  <c r="J44" i="12"/>
  <c r="I86" i="12"/>
  <c r="I44" i="12"/>
  <c r="I47" i="12"/>
  <c r="J47" i="12"/>
  <c r="H47" i="12"/>
  <c r="J83" i="12"/>
  <c r="I83" i="12"/>
  <c r="J69" i="12"/>
  <c r="I69" i="12"/>
  <c r="J43" i="12"/>
  <c r="H43" i="12"/>
  <c r="I43" i="12"/>
  <c r="H54" i="12"/>
  <c r="J54" i="12"/>
  <c r="J36" i="12"/>
  <c r="H36" i="12"/>
  <c r="I54" i="12"/>
  <c r="J75" i="12"/>
  <c r="I75" i="12"/>
  <c r="J50" i="12"/>
  <c r="I50" i="12"/>
  <c r="H50" i="12"/>
  <c r="I80" i="12"/>
  <c r="I55" i="12"/>
  <c r="H55" i="12"/>
  <c r="J66" i="12"/>
  <c r="I66" i="12"/>
  <c r="I81" i="12"/>
  <c r="J81" i="12"/>
  <c r="J88" i="12"/>
  <c r="I88" i="12"/>
  <c r="I48" i="12"/>
  <c r="H48" i="12"/>
  <c r="J48" i="12"/>
  <c r="J55" i="12"/>
  <c r="J61" i="12"/>
  <c r="H61" i="12"/>
  <c r="J67" i="12"/>
  <c r="I72" i="12"/>
  <c r="J72" i="12"/>
  <c r="J53" i="12"/>
  <c r="I53" i="12"/>
  <c r="H53" i="12"/>
  <c r="H59" i="12"/>
  <c r="H26" i="12"/>
  <c r="J58" i="12"/>
  <c r="I58" i="12"/>
  <c r="I64" i="12"/>
  <c r="J64" i="12"/>
  <c r="H64" i="12"/>
  <c r="I51" i="12"/>
  <c r="H65" i="12"/>
  <c r="J74" i="12"/>
  <c r="I74" i="12"/>
  <c r="J77" i="12"/>
  <c r="I57" i="12"/>
  <c r="I63" i="12"/>
  <c r="H63" i="12"/>
  <c r="J82" i="12"/>
  <c r="I82" i="12"/>
  <c r="J85" i="12"/>
  <c r="I85" i="12"/>
  <c r="I89" i="12"/>
  <c r="J63" i="12"/>
  <c r="I65" i="12"/>
  <c r="I71" i="12"/>
  <c r="I87" i="12"/>
  <c r="H42" i="12"/>
  <c r="H46" i="12"/>
  <c r="J59" i="12"/>
  <c r="H62" i="12"/>
  <c r="J71" i="12"/>
  <c r="I73" i="12"/>
  <c r="I79" i="12"/>
  <c r="H52" i="12"/>
  <c r="H60" i="12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6" i="4"/>
  <c r="V3" i="4"/>
  <c r="V4" i="4"/>
  <c r="V5" i="4"/>
  <c r="V7" i="4"/>
  <c r="V9" i="4"/>
  <c r="V10" i="4"/>
  <c r="V11" i="4"/>
  <c r="V12" i="4"/>
  <c r="V13" i="4"/>
  <c r="V17" i="4"/>
  <c r="V20" i="4"/>
  <c r="V21" i="4"/>
  <c r="V24" i="4"/>
  <c r="V25" i="4"/>
  <c r="V26" i="4"/>
  <c r="V27" i="4"/>
  <c r="V37" i="4"/>
  <c r="V45" i="4"/>
  <c r="W38" i="12" l="1"/>
  <c r="R27" i="13"/>
  <c r="U27" i="13"/>
  <c r="M32" i="13"/>
  <c r="I5" i="13"/>
  <c r="P7" i="13"/>
  <c r="O9" i="14"/>
  <c r="I9" i="14"/>
  <c r="H19" i="13"/>
  <c r="R173" i="12"/>
  <c r="N14" i="13"/>
  <c r="S14" i="13"/>
  <c r="O7" i="13"/>
  <c r="Q33" i="13"/>
  <c r="I54" i="13"/>
  <c r="N51" i="13"/>
  <c r="Q68" i="13"/>
  <c r="Q78" i="13"/>
  <c r="Q9" i="14"/>
  <c r="H44" i="13"/>
  <c r="H54" i="13"/>
  <c r="W9" i="14"/>
  <c r="R7" i="12"/>
  <c r="H38" i="12"/>
  <c r="H3" i="12"/>
  <c r="I3" i="12"/>
  <c r="H27" i="13"/>
  <c r="J22" i="14"/>
  <c r="I49" i="13"/>
  <c r="I53" i="13"/>
  <c r="M78" i="13"/>
  <c r="I34" i="12"/>
  <c r="S21" i="13"/>
  <c r="U54" i="13"/>
  <c r="M62" i="13"/>
  <c r="M66" i="13"/>
  <c r="O83" i="13"/>
  <c r="S21" i="14"/>
  <c r="M42" i="14"/>
  <c r="H43" i="14"/>
  <c r="J42" i="14"/>
  <c r="Q27" i="13"/>
  <c r="I81" i="13"/>
  <c r="S27" i="13"/>
  <c r="Q66" i="13"/>
  <c r="Q81" i="13"/>
  <c r="U66" i="13"/>
  <c r="O8" i="12"/>
  <c r="R8" i="12"/>
  <c r="J21" i="13"/>
  <c r="M21" i="13"/>
  <c r="J27" i="13"/>
  <c r="M37" i="13"/>
  <c r="N37" i="13"/>
  <c r="P51" i="13"/>
  <c r="N21" i="14"/>
  <c r="M9" i="14"/>
  <c r="M70" i="13"/>
  <c r="R10" i="12"/>
  <c r="O27" i="13"/>
  <c r="I21" i="13"/>
  <c r="U21" i="13"/>
  <c r="Q51" i="13"/>
  <c r="M81" i="13"/>
  <c r="U9" i="14"/>
  <c r="O5" i="15"/>
  <c r="U37" i="13"/>
  <c r="M21" i="14"/>
  <c r="N27" i="13"/>
  <c r="H12" i="13"/>
  <c r="N21" i="13"/>
  <c r="R15" i="13"/>
  <c r="H51" i="13"/>
  <c r="M58" i="13"/>
  <c r="P67" i="13"/>
  <c r="M30" i="14"/>
  <c r="H9" i="14"/>
  <c r="W21" i="13"/>
  <c r="W7" i="13"/>
  <c r="I10" i="13"/>
  <c r="R38" i="14"/>
  <c r="P27" i="13"/>
  <c r="R12" i="13"/>
  <c r="I77" i="13"/>
  <c r="S9" i="14"/>
  <c r="J39" i="13"/>
  <c r="Q62" i="13"/>
  <c r="P9" i="14"/>
  <c r="N26" i="14"/>
  <c r="J9" i="14"/>
  <c r="Q5" i="15"/>
  <c r="Q6" i="12"/>
  <c r="M24" i="12"/>
  <c r="I57" i="13"/>
  <c r="J29" i="14"/>
  <c r="H10" i="12"/>
  <c r="I38" i="12"/>
  <c r="P37" i="12"/>
  <c r="Q24" i="12"/>
  <c r="U10" i="12"/>
  <c r="N36" i="12"/>
  <c r="P174" i="12"/>
  <c r="R18" i="13"/>
  <c r="O2" i="13"/>
  <c r="H8" i="13"/>
  <c r="J3" i="13"/>
  <c r="O10" i="13"/>
  <c r="O8" i="13"/>
  <c r="O37" i="13"/>
  <c r="P58" i="13"/>
  <c r="H78" i="13"/>
  <c r="H81" i="13"/>
  <c r="I78" i="13"/>
  <c r="O78" i="13"/>
  <c r="O21" i="14"/>
  <c r="M8" i="14"/>
  <c r="N78" i="13"/>
  <c r="H21" i="13"/>
  <c r="M2" i="13"/>
  <c r="U2" i="13"/>
  <c r="M38" i="12"/>
  <c r="O12" i="12"/>
  <c r="H197" i="12"/>
  <c r="M14" i="13"/>
  <c r="R2" i="13"/>
  <c r="S23" i="13"/>
  <c r="I37" i="13"/>
  <c r="R37" i="13"/>
  <c r="R78" i="13"/>
  <c r="N13" i="13"/>
  <c r="Q175" i="12"/>
  <c r="I18" i="13"/>
  <c r="H49" i="13"/>
  <c r="P12" i="12"/>
  <c r="O38" i="12"/>
  <c r="N12" i="12"/>
  <c r="I2" i="13"/>
  <c r="R24" i="13"/>
  <c r="P13" i="13"/>
  <c r="U14" i="13"/>
  <c r="H37" i="13"/>
  <c r="R58" i="13"/>
  <c r="R71" i="13"/>
  <c r="R79" i="13"/>
  <c r="S78" i="13"/>
  <c r="R5" i="15"/>
  <c r="J78" i="13"/>
  <c r="S175" i="12"/>
  <c r="U18" i="13"/>
  <c r="H35" i="12"/>
  <c r="H19" i="12"/>
  <c r="J10" i="12"/>
  <c r="N38" i="12"/>
  <c r="P35" i="13"/>
  <c r="R14" i="13"/>
  <c r="M24" i="13"/>
  <c r="N2" i="13"/>
  <c r="P14" i="13"/>
  <c r="H26" i="13"/>
  <c r="N39" i="13"/>
  <c r="P49" i="13"/>
  <c r="Q37" i="13"/>
  <c r="I71" i="13"/>
  <c r="N81" i="13"/>
  <c r="P78" i="13"/>
  <c r="H21" i="14"/>
  <c r="S31" i="14"/>
  <c r="J4" i="14"/>
  <c r="J12" i="13"/>
  <c r="U15" i="13"/>
  <c r="H22" i="14"/>
  <c r="W43" i="14"/>
  <c r="P71" i="13"/>
  <c r="P22" i="14"/>
  <c r="J24" i="12"/>
  <c r="S24" i="12"/>
  <c r="N21" i="12"/>
  <c r="Q196" i="12"/>
  <c r="P23" i="13"/>
  <c r="O14" i="13"/>
  <c r="Q14" i="13"/>
  <c r="O15" i="13"/>
  <c r="S7" i="13"/>
  <c r="Q10" i="13"/>
  <c r="U50" i="13"/>
  <c r="P62" i="13"/>
  <c r="O70" i="13"/>
  <c r="O73" i="13"/>
  <c r="R77" i="13"/>
  <c r="N80" i="13"/>
  <c r="W66" i="13"/>
  <c r="U43" i="14"/>
  <c r="M9" i="15"/>
  <c r="O4" i="15"/>
  <c r="W39" i="14"/>
  <c r="W25" i="14"/>
  <c r="H76" i="13"/>
  <c r="U62" i="13"/>
  <c r="P12" i="13"/>
  <c r="M74" i="13"/>
  <c r="P43" i="14"/>
  <c r="Q77" i="13"/>
  <c r="W42" i="14"/>
  <c r="S10" i="13"/>
  <c r="I25" i="13"/>
  <c r="N50" i="13"/>
  <c r="I80" i="13"/>
  <c r="M43" i="14"/>
  <c r="H10" i="13"/>
  <c r="H27" i="12"/>
  <c r="R3" i="12"/>
  <c r="N11" i="12"/>
  <c r="Q27" i="12"/>
  <c r="N173" i="12"/>
  <c r="P15" i="13"/>
  <c r="M23" i="13"/>
  <c r="O13" i="13"/>
  <c r="J14" i="13"/>
  <c r="H14" i="13"/>
  <c r="H30" i="13"/>
  <c r="J15" i="13"/>
  <c r="M26" i="13"/>
  <c r="S50" i="13"/>
  <c r="H62" i="13"/>
  <c r="S74" i="13"/>
  <c r="H30" i="14"/>
  <c r="S43" i="14"/>
  <c r="O31" i="14"/>
  <c r="U35" i="14"/>
  <c r="S5" i="15"/>
  <c r="S62" i="13"/>
  <c r="I7" i="13"/>
  <c r="W3" i="13"/>
  <c r="J43" i="14"/>
  <c r="I196" i="12"/>
  <c r="O77" i="13"/>
  <c r="R43" i="14"/>
  <c r="O25" i="12"/>
  <c r="R27" i="12"/>
  <c r="H196" i="12"/>
  <c r="R10" i="13"/>
  <c r="J10" i="13"/>
  <c r="M15" i="13"/>
  <c r="N74" i="13"/>
  <c r="S30" i="13"/>
  <c r="N41" i="13"/>
  <c r="J27" i="12"/>
  <c r="H21" i="12"/>
  <c r="H24" i="12"/>
  <c r="U21" i="12"/>
  <c r="Q3" i="12"/>
  <c r="Q173" i="12"/>
  <c r="I15" i="13"/>
  <c r="M13" i="13"/>
  <c r="N7" i="13"/>
  <c r="Q7" i="13"/>
  <c r="M10" i="13"/>
  <c r="R50" i="13"/>
  <c r="H50" i="13"/>
  <c r="R62" i="13"/>
  <c r="R70" i="13"/>
  <c r="N43" i="14"/>
  <c r="Q22" i="14"/>
  <c r="O43" i="14"/>
  <c r="H7" i="13"/>
  <c r="M30" i="13"/>
  <c r="N10" i="13"/>
  <c r="W2" i="13"/>
  <c r="S15" i="13"/>
  <c r="J23" i="13"/>
  <c r="N62" i="13"/>
  <c r="Q43" i="14"/>
  <c r="I21" i="12"/>
  <c r="I24" i="12"/>
  <c r="O37" i="12"/>
  <c r="R6" i="12"/>
  <c r="O24" i="12"/>
  <c r="M3" i="12"/>
  <c r="P6" i="12"/>
  <c r="Q25" i="13"/>
  <c r="Q15" i="13"/>
  <c r="U13" i="13"/>
  <c r="U10" i="13"/>
  <c r="P10" i="13"/>
  <c r="H15" i="13"/>
  <c r="Q50" i="13"/>
  <c r="I47" i="13"/>
  <c r="P70" i="13"/>
  <c r="M80" i="13"/>
  <c r="U77" i="13"/>
  <c r="M22" i="14"/>
  <c r="I43" i="14"/>
  <c r="N30" i="14"/>
  <c r="U80" i="13"/>
  <c r="S4" i="12"/>
  <c r="J24" i="13"/>
  <c r="S29" i="13"/>
  <c r="U24" i="13"/>
  <c r="J2" i="13"/>
  <c r="H38" i="13"/>
  <c r="N49" i="13"/>
  <c r="S72" i="13"/>
  <c r="I30" i="14"/>
  <c r="W34" i="14"/>
  <c r="H2" i="13"/>
  <c r="I4" i="12"/>
  <c r="J34" i="12"/>
  <c r="U3" i="12"/>
  <c r="O4" i="12"/>
  <c r="M196" i="12"/>
  <c r="P196" i="12"/>
  <c r="M25" i="12"/>
  <c r="R3" i="13"/>
  <c r="N24" i="13"/>
  <c r="H24" i="13"/>
  <c r="Q54" i="13"/>
  <c r="N54" i="13"/>
  <c r="O51" i="13"/>
  <c r="I66" i="13"/>
  <c r="I67" i="13"/>
  <c r="O72" i="13"/>
  <c r="H80" i="13"/>
  <c r="S80" i="13"/>
  <c r="U68" i="13"/>
  <c r="R30" i="14"/>
  <c r="S26" i="14"/>
  <c r="O42" i="14"/>
  <c r="U22" i="14"/>
  <c r="I26" i="14"/>
  <c r="W196" i="12"/>
  <c r="J80" i="13"/>
  <c r="J43" i="13"/>
  <c r="H72" i="13"/>
  <c r="J4" i="12"/>
  <c r="S20" i="13"/>
  <c r="P30" i="14"/>
  <c r="H4" i="12"/>
  <c r="H17" i="12"/>
  <c r="H7" i="12"/>
  <c r="H15" i="12"/>
  <c r="W6" i="12"/>
  <c r="P20" i="12"/>
  <c r="S17" i="12"/>
  <c r="Q20" i="12"/>
  <c r="S34" i="12"/>
  <c r="S196" i="12"/>
  <c r="S18" i="13"/>
  <c r="J35" i="13"/>
  <c r="H20" i="13"/>
  <c r="U3" i="13"/>
  <c r="I24" i="13"/>
  <c r="U43" i="13"/>
  <c r="I51" i="13"/>
  <c r="O66" i="13"/>
  <c r="H68" i="13"/>
  <c r="P72" i="13"/>
  <c r="R80" i="13"/>
  <c r="O80" i="13"/>
  <c r="S30" i="14"/>
  <c r="S42" i="14"/>
  <c r="S22" i="14"/>
  <c r="Q34" i="14"/>
  <c r="N22" i="14"/>
  <c r="J30" i="14"/>
  <c r="U30" i="14"/>
  <c r="O30" i="14"/>
  <c r="W26" i="14"/>
  <c r="J49" i="13"/>
  <c r="W54" i="13"/>
  <c r="M72" i="13"/>
  <c r="Q36" i="13"/>
  <c r="Q24" i="13"/>
  <c r="Q72" i="13"/>
  <c r="R72" i="13"/>
  <c r="N34" i="14"/>
  <c r="I17" i="12"/>
  <c r="W8" i="12"/>
  <c r="W12" i="12"/>
  <c r="W33" i="12"/>
  <c r="O196" i="12"/>
  <c r="H3" i="13"/>
  <c r="S2" i="13"/>
  <c r="N3" i="13"/>
  <c r="P24" i="13"/>
  <c r="I9" i="13"/>
  <c r="S49" i="13"/>
  <c r="R43" i="13"/>
  <c r="S37" i="13"/>
  <c r="M49" i="13"/>
  <c r="R51" i="13"/>
  <c r="R66" i="13"/>
  <c r="M68" i="13"/>
  <c r="I72" i="13"/>
  <c r="U72" i="13"/>
  <c r="I42" i="14"/>
  <c r="O22" i="14"/>
  <c r="Q38" i="14"/>
  <c r="R22" i="14"/>
  <c r="R17" i="12"/>
  <c r="W9" i="12"/>
  <c r="Q17" i="12"/>
  <c r="S24" i="13"/>
  <c r="U35" i="13"/>
  <c r="O49" i="13"/>
  <c r="U49" i="13"/>
  <c r="R67" i="13"/>
  <c r="J25" i="12"/>
  <c r="R30" i="12"/>
  <c r="O3" i="12"/>
  <c r="M36" i="13"/>
  <c r="I3" i="13"/>
  <c r="O3" i="13"/>
  <c r="O9" i="13"/>
  <c r="N4" i="13"/>
  <c r="S43" i="13"/>
  <c r="Q49" i="13"/>
  <c r="P54" i="13"/>
  <c r="M51" i="13"/>
  <c r="N66" i="13"/>
  <c r="O68" i="13"/>
  <c r="Q80" i="13"/>
  <c r="P80" i="13"/>
  <c r="S66" i="13"/>
  <c r="P38" i="14"/>
  <c r="Q42" i="14"/>
  <c r="J51" i="13"/>
  <c r="W35" i="14"/>
  <c r="J30" i="13"/>
  <c r="N47" i="13"/>
  <c r="H35" i="14"/>
  <c r="I19" i="12"/>
  <c r="I15" i="12"/>
  <c r="O30" i="13"/>
  <c r="M39" i="13"/>
  <c r="M41" i="13"/>
  <c r="N198" i="12"/>
  <c r="M4" i="13"/>
  <c r="M47" i="13"/>
  <c r="R31" i="14"/>
  <c r="N14" i="14"/>
  <c r="H39" i="12"/>
  <c r="J18" i="12"/>
  <c r="H33" i="12"/>
  <c r="H6" i="12"/>
  <c r="N19" i="12"/>
  <c r="N6" i="12"/>
  <c r="W26" i="12"/>
  <c r="S3" i="12"/>
  <c r="R39" i="12"/>
  <c r="M6" i="12"/>
  <c r="N15" i="12"/>
  <c r="R12" i="12"/>
  <c r="J32" i="13"/>
  <c r="Q32" i="13"/>
  <c r="R13" i="13"/>
  <c r="J13" i="13"/>
  <c r="O18" i="13"/>
  <c r="H32" i="13"/>
  <c r="P30" i="13"/>
  <c r="I4" i="13"/>
  <c r="I20" i="13"/>
  <c r="N29" i="13"/>
  <c r="H29" i="13"/>
  <c r="O41" i="13"/>
  <c r="I50" i="13"/>
  <c r="U40" i="13"/>
  <c r="P47" i="13"/>
  <c r="S39" i="13"/>
  <c r="O67" i="13"/>
  <c r="W60" i="13"/>
  <c r="R34" i="14"/>
  <c r="O34" i="14"/>
  <c r="M31" i="14"/>
  <c r="S5" i="14"/>
  <c r="I35" i="14"/>
  <c r="O35" i="14"/>
  <c r="S14" i="14"/>
  <c r="Q31" i="14"/>
  <c r="M5" i="14"/>
  <c r="M34" i="14"/>
  <c r="Q5" i="14"/>
  <c r="U34" i="14"/>
  <c r="S4" i="15"/>
  <c r="J47" i="13"/>
  <c r="H18" i="13"/>
  <c r="U32" i="13"/>
  <c r="U39" i="13"/>
  <c r="O5" i="14"/>
  <c r="S39" i="12"/>
  <c r="Q15" i="12"/>
  <c r="Q28" i="13"/>
  <c r="P39" i="13"/>
  <c r="I60" i="13"/>
  <c r="I39" i="12"/>
  <c r="P17" i="12"/>
  <c r="U30" i="13"/>
  <c r="P41" i="13"/>
  <c r="P40" i="13"/>
  <c r="S47" i="13"/>
  <c r="N60" i="13"/>
  <c r="R81" i="13"/>
  <c r="U60" i="13"/>
  <c r="R5" i="14"/>
  <c r="J39" i="12"/>
  <c r="I14" i="12"/>
  <c r="J33" i="12"/>
  <c r="J6" i="12"/>
  <c r="M12" i="12"/>
  <c r="M15" i="12"/>
  <c r="N41" i="12"/>
  <c r="N39" i="12"/>
  <c r="S26" i="12"/>
  <c r="N3" i="12"/>
  <c r="P39" i="12"/>
  <c r="O17" i="12"/>
  <c r="S33" i="12"/>
  <c r="R19" i="12"/>
  <c r="S22" i="12"/>
  <c r="U6" i="12"/>
  <c r="J20" i="13"/>
  <c r="H13" i="13"/>
  <c r="I30" i="13"/>
  <c r="Q18" i="13"/>
  <c r="S41" i="13"/>
  <c r="R39" i="13"/>
  <c r="I48" i="13"/>
  <c r="O47" i="13"/>
  <c r="O39" i="13"/>
  <c r="H58" i="13"/>
  <c r="I58" i="13"/>
  <c r="P60" i="13"/>
  <c r="N58" i="13"/>
  <c r="N67" i="13"/>
  <c r="R60" i="13"/>
  <c r="S67" i="13"/>
  <c r="H34" i="14"/>
  <c r="R26" i="14"/>
  <c r="I31" i="14"/>
  <c r="U31" i="14"/>
  <c r="I21" i="14"/>
  <c r="J35" i="14"/>
  <c r="J34" i="14"/>
  <c r="P35" i="14"/>
  <c r="H31" i="14"/>
  <c r="J26" i="14"/>
  <c r="I5" i="14"/>
  <c r="W51" i="13"/>
  <c r="W58" i="13"/>
  <c r="W31" i="14"/>
  <c r="H39" i="13"/>
  <c r="S60" i="13"/>
  <c r="W33" i="14"/>
  <c r="N32" i="13"/>
  <c r="U47" i="13"/>
  <c r="J31" i="14"/>
  <c r="J5" i="14"/>
  <c r="S35" i="14"/>
  <c r="J17" i="12"/>
  <c r="S15" i="12"/>
  <c r="O32" i="13"/>
  <c r="Q60" i="13"/>
  <c r="S81" i="13"/>
  <c r="N36" i="14"/>
  <c r="H12" i="12"/>
  <c r="R26" i="12"/>
  <c r="M39" i="12"/>
  <c r="O6" i="12"/>
  <c r="S13" i="13"/>
  <c r="Q13" i="13"/>
  <c r="Q30" i="13"/>
  <c r="I16" i="13"/>
  <c r="O29" i="13"/>
  <c r="R11" i="13"/>
  <c r="N18" i="13"/>
  <c r="R41" i="13"/>
  <c r="Q39" i="13"/>
  <c r="H47" i="13"/>
  <c r="R47" i="13"/>
  <c r="Q58" i="13"/>
  <c r="Q52" i="13"/>
  <c r="O58" i="13"/>
  <c r="H67" i="13"/>
  <c r="W50" i="13"/>
  <c r="P34" i="14"/>
  <c r="H26" i="14"/>
  <c r="R35" i="14"/>
  <c r="N5" i="14"/>
  <c r="P4" i="14"/>
  <c r="O26" i="14"/>
  <c r="I34" i="14"/>
  <c r="M26" i="14"/>
  <c r="W197" i="12"/>
  <c r="W27" i="14"/>
  <c r="W20" i="14"/>
  <c r="W24" i="14"/>
  <c r="W30" i="14"/>
  <c r="W15" i="12"/>
  <c r="P31" i="14"/>
  <c r="H5" i="14"/>
  <c r="R15" i="12"/>
  <c r="Q39" i="12"/>
  <c r="N30" i="13"/>
  <c r="Q26" i="14"/>
  <c r="J15" i="12"/>
  <c r="I6" i="12"/>
  <c r="M26" i="12"/>
  <c r="U39" i="12"/>
  <c r="I41" i="13"/>
  <c r="Q67" i="13"/>
  <c r="N35" i="14"/>
  <c r="J14" i="14"/>
  <c r="I12" i="12"/>
  <c r="J23" i="12"/>
  <c r="J12" i="12"/>
  <c r="M17" i="12"/>
  <c r="P3" i="12"/>
  <c r="U17" i="12"/>
  <c r="W23" i="12"/>
  <c r="P15" i="12"/>
  <c r="U15" i="12"/>
  <c r="S14" i="12"/>
  <c r="U12" i="12"/>
  <c r="N197" i="12"/>
  <c r="I13" i="13"/>
  <c r="P18" i="13"/>
  <c r="U11" i="13"/>
  <c r="P32" i="13"/>
  <c r="I32" i="13"/>
  <c r="U16" i="13"/>
  <c r="Q9" i="13"/>
  <c r="J18" i="13"/>
  <c r="O50" i="13"/>
  <c r="M60" i="13"/>
  <c r="W74" i="13"/>
  <c r="S34" i="14"/>
  <c r="P26" i="14"/>
  <c r="M35" i="14"/>
  <c r="U5" i="14"/>
  <c r="P21" i="14"/>
  <c r="J21" i="14"/>
  <c r="U26" i="14"/>
  <c r="W22" i="14"/>
  <c r="P7" i="12"/>
  <c r="N36" i="13"/>
  <c r="I36" i="13"/>
  <c r="Q57" i="13"/>
  <c r="U7" i="12"/>
  <c r="N23" i="12"/>
  <c r="O172" i="12"/>
  <c r="O23" i="13"/>
  <c r="P36" i="13"/>
  <c r="H65" i="13"/>
  <c r="Q74" i="13"/>
  <c r="H29" i="12"/>
  <c r="O2" i="12"/>
  <c r="I8" i="12"/>
  <c r="J21" i="12"/>
  <c r="J11" i="12"/>
  <c r="I22" i="12"/>
  <c r="I7" i="12"/>
  <c r="P21" i="12"/>
  <c r="R22" i="12"/>
  <c r="O29" i="12"/>
  <c r="P24" i="12"/>
  <c r="S16" i="12"/>
  <c r="O32" i="12"/>
  <c r="W10" i="12"/>
  <c r="U22" i="12"/>
  <c r="U36" i="12"/>
  <c r="N37" i="12"/>
  <c r="P173" i="12"/>
  <c r="R175" i="12"/>
  <c r="P20" i="13"/>
  <c r="H36" i="13"/>
  <c r="S25" i="13"/>
  <c r="R8" i="13"/>
  <c r="Q20" i="13"/>
  <c r="H23" i="13"/>
  <c r="R53" i="13"/>
  <c r="H61" i="13"/>
  <c r="I65" i="13"/>
  <c r="N70" i="13"/>
  <c r="I74" i="13"/>
  <c r="P76" i="13"/>
  <c r="P27" i="14"/>
  <c r="S4" i="14"/>
  <c r="R6" i="14"/>
  <c r="W44" i="13"/>
  <c r="I172" i="12"/>
  <c r="P19" i="13"/>
  <c r="N79" i="13"/>
  <c r="S29" i="12"/>
  <c r="O22" i="12"/>
  <c r="R36" i="13"/>
  <c r="J36" i="13"/>
  <c r="I7" i="14"/>
  <c r="H7" i="14"/>
  <c r="H8" i="12"/>
  <c r="J22" i="12"/>
  <c r="H30" i="12"/>
  <c r="M2" i="12"/>
  <c r="N30" i="12"/>
  <c r="P29" i="12"/>
  <c r="O175" i="12"/>
  <c r="I23" i="13"/>
  <c r="P8" i="13"/>
  <c r="R20" i="13"/>
  <c r="I9" i="15"/>
  <c r="H2" i="12"/>
  <c r="I11" i="12"/>
  <c r="Q22" i="12"/>
  <c r="S21" i="12"/>
  <c r="U29" i="12"/>
  <c r="U24" i="12"/>
  <c r="Q11" i="12"/>
  <c r="S32" i="12"/>
  <c r="N28" i="12"/>
  <c r="M37" i="12"/>
  <c r="M22" i="12"/>
  <c r="M30" i="12"/>
  <c r="S173" i="12"/>
  <c r="M173" i="12"/>
  <c r="I175" i="12"/>
  <c r="N23" i="13"/>
  <c r="J19" i="13"/>
  <c r="N20" i="13"/>
  <c r="O25" i="13"/>
  <c r="U8" i="13"/>
  <c r="Q23" i="13"/>
  <c r="M61" i="13"/>
  <c r="H70" i="13"/>
  <c r="R74" i="13"/>
  <c r="M27" i="14"/>
  <c r="H28" i="14"/>
  <c r="R11" i="15"/>
  <c r="J30" i="12"/>
  <c r="I4" i="14"/>
  <c r="H22" i="12"/>
  <c r="N22" i="12"/>
  <c r="S8" i="12"/>
  <c r="Q37" i="12"/>
  <c r="S28" i="12"/>
  <c r="I174" i="12"/>
  <c r="S38" i="14"/>
  <c r="I30" i="12"/>
  <c r="O10" i="12"/>
  <c r="P22" i="12"/>
  <c r="R23" i="13"/>
  <c r="O76" i="13"/>
  <c r="U7" i="14"/>
  <c r="O27" i="14"/>
  <c r="H27" i="14"/>
  <c r="J32" i="12"/>
  <c r="M28" i="12"/>
  <c r="I37" i="12"/>
  <c r="Q2" i="12"/>
  <c r="H23" i="12"/>
  <c r="J29" i="12"/>
  <c r="M36" i="12"/>
  <c r="U37" i="12"/>
  <c r="W19" i="12"/>
  <c r="R23" i="12"/>
  <c r="U23" i="12"/>
  <c r="M29" i="12"/>
  <c r="R32" i="12"/>
  <c r="W11" i="12"/>
  <c r="P32" i="12"/>
  <c r="P30" i="12"/>
  <c r="O28" i="12"/>
  <c r="N8" i="12"/>
  <c r="S37" i="12"/>
  <c r="W22" i="12"/>
  <c r="N24" i="12"/>
  <c r="S172" i="12"/>
  <c r="I173" i="12"/>
  <c r="S36" i="13"/>
  <c r="O20" i="13"/>
  <c r="M25" i="13"/>
  <c r="R19" i="13"/>
  <c r="U23" i="13"/>
  <c r="I61" i="13"/>
  <c r="Q70" i="13"/>
  <c r="P74" i="13"/>
  <c r="H79" i="13"/>
  <c r="W57" i="13"/>
  <c r="U27" i="14"/>
  <c r="S40" i="14"/>
  <c r="I38" i="14"/>
  <c r="J38" i="14"/>
  <c r="S27" i="14"/>
  <c r="H4" i="13"/>
  <c r="Q29" i="12"/>
  <c r="H172" i="12"/>
  <c r="U30" i="12"/>
  <c r="U36" i="13"/>
  <c r="U20" i="13"/>
  <c r="H25" i="13"/>
  <c r="M32" i="12"/>
  <c r="O173" i="12"/>
  <c r="O36" i="13"/>
  <c r="R25" i="13"/>
  <c r="I29" i="12"/>
  <c r="H37" i="12"/>
  <c r="S23" i="12"/>
  <c r="I36" i="12"/>
  <c r="J37" i="12"/>
  <c r="W7" i="12"/>
  <c r="O21" i="12"/>
  <c r="Q30" i="12"/>
  <c r="M21" i="12"/>
  <c r="S11" i="12"/>
  <c r="U32" i="12"/>
  <c r="S20" i="12"/>
  <c r="R37" i="12"/>
  <c r="N20" i="12"/>
  <c r="R36" i="12"/>
  <c r="W17" i="12"/>
  <c r="H173" i="12"/>
  <c r="J25" i="13"/>
  <c r="P25" i="13"/>
  <c r="N25" i="13"/>
  <c r="J8" i="13"/>
  <c r="Q73" i="13"/>
  <c r="Q21" i="14"/>
  <c r="O38" i="14"/>
  <c r="H10" i="15"/>
  <c r="W13" i="13"/>
  <c r="W173" i="12"/>
  <c r="W38" i="14"/>
  <c r="W5" i="13"/>
  <c r="S5" i="13"/>
  <c r="R5" i="13"/>
  <c r="P5" i="13"/>
  <c r="U31" i="12"/>
  <c r="N31" i="12"/>
  <c r="J33" i="13"/>
  <c r="Q5" i="13"/>
  <c r="N13" i="12"/>
  <c r="M13" i="12"/>
  <c r="Q13" i="12"/>
  <c r="R13" i="12"/>
  <c r="O13" i="12"/>
  <c r="J13" i="12"/>
  <c r="Q63" i="13"/>
  <c r="O63" i="13"/>
  <c r="I63" i="13"/>
  <c r="N55" i="13"/>
  <c r="J55" i="13"/>
  <c r="P55" i="13"/>
  <c r="U55" i="13"/>
  <c r="H55" i="13"/>
  <c r="W55" i="13"/>
  <c r="Q55" i="13"/>
  <c r="R31" i="12"/>
  <c r="I33" i="13"/>
  <c r="Q38" i="13"/>
  <c r="R63" i="13"/>
  <c r="H82" i="13"/>
  <c r="I18" i="12"/>
  <c r="H18" i="12"/>
  <c r="W18" i="12"/>
  <c r="S18" i="12"/>
  <c r="M18" i="12"/>
  <c r="H4" i="15"/>
  <c r="N4" i="15"/>
  <c r="R4" i="15"/>
  <c r="U4" i="15"/>
  <c r="M4" i="15"/>
  <c r="W38" i="13"/>
  <c r="O56" i="13"/>
  <c r="R56" i="13"/>
  <c r="Q56" i="13"/>
  <c r="P56" i="13"/>
  <c r="W56" i="13"/>
  <c r="M56" i="13"/>
  <c r="J31" i="12"/>
  <c r="I26" i="13"/>
  <c r="P33" i="13"/>
  <c r="J38" i="13"/>
  <c r="J40" i="14"/>
  <c r="W40" i="14"/>
  <c r="Q40" i="14"/>
  <c r="P40" i="14"/>
  <c r="R40" i="14"/>
  <c r="O12" i="13"/>
  <c r="Q12" i="13"/>
  <c r="N12" i="13"/>
  <c r="N56" i="13"/>
  <c r="I56" i="13"/>
  <c r="S19" i="14"/>
  <c r="R19" i="14"/>
  <c r="P29" i="13"/>
  <c r="U29" i="13"/>
  <c r="I29" i="13"/>
  <c r="M29" i="13"/>
  <c r="W27" i="13"/>
  <c r="R29" i="13"/>
  <c r="W26" i="13"/>
  <c r="Q31" i="13"/>
  <c r="M31" i="13"/>
  <c r="R31" i="13"/>
  <c r="N31" i="13"/>
  <c r="I31" i="13"/>
  <c r="W31" i="13"/>
  <c r="U31" i="13"/>
  <c r="S31" i="13"/>
  <c r="O31" i="13"/>
  <c r="J5" i="13"/>
  <c r="R45" i="13"/>
  <c r="O45" i="13"/>
  <c r="J45" i="13"/>
  <c r="N45" i="13"/>
  <c r="U45" i="13"/>
  <c r="Q46" i="13"/>
  <c r="U46" i="13"/>
  <c r="R38" i="13"/>
  <c r="S38" i="13"/>
  <c r="M38" i="13"/>
  <c r="P38" i="13"/>
  <c r="I38" i="13"/>
  <c r="N38" i="13"/>
  <c r="W33" i="13"/>
  <c r="S33" i="13"/>
  <c r="R33" i="13"/>
  <c r="H33" i="13"/>
  <c r="O33" i="13"/>
  <c r="N33" i="13"/>
  <c r="P26" i="13"/>
  <c r="U26" i="13"/>
  <c r="J26" i="13"/>
  <c r="N26" i="13"/>
  <c r="O26" i="13"/>
  <c r="Q45" i="13"/>
  <c r="H13" i="12"/>
  <c r="S13" i="12"/>
  <c r="M12" i="13"/>
  <c r="I12" i="13"/>
  <c r="R26" i="13"/>
  <c r="U33" i="13"/>
  <c r="U38" i="13"/>
  <c r="I79" i="13"/>
  <c r="M79" i="13"/>
  <c r="Q79" i="13"/>
  <c r="P79" i="13"/>
  <c r="O19" i="13"/>
  <c r="Q19" i="13"/>
  <c r="M19" i="13"/>
  <c r="I19" i="13"/>
  <c r="U19" i="13"/>
  <c r="N19" i="13"/>
  <c r="H4" i="14"/>
  <c r="U4" i="14"/>
  <c r="N4" i="14"/>
  <c r="R4" i="14"/>
  <c r="M4" i="14"/>
  <c r="O4" i="14"/>
  <c r="Q4" i="14"/>
  <c r="N3" i="15"/>
  <c r="U3" i="15"/>
  <c r="P3" i="15"/>
  <c r="H3" i="15"/>
  <c r="J3" i="15"/>
  <c r="M3" i="15"/>
  <c r="O31" i="12"/>
  <c r="M31" i="12"/>
  <c r="P31" i="12"/>
  <c r="Q31" i="12"/>
  <c r="S31" i="12"/>
  <c r="O5" i="13"/>
  <c r="O44" i="13"/>
  <c r="P44" i="13"/>
  <c r="M35" i="13"/>
  <c r="W35" i="13"/>
  <c r="R35" i="13"/>
  <c r="N35" i="13"/>
  <c r="I35" i="13"/>
  <c r="S35" i="13"/>
  <c r="H35" i="13"/>
  <c r="I13" i="12"/>
  <c r="I31" i="12"/>
  <c r="P13" i="12"/>
  <c r="O35" i="13"/>
  <c r="S26" i="13"/>
  <c r="N5" i="13"/>
  <c r="U12" i="13"/>
  <c r="M5" i="13"/>
  <c r="S45" i="13"/>
  <c r="Q44" i="13"/>
  <c r="W29" i="14"/>
  <c r="O29" i="14"/>
  <c r="W28" i="12"/>
  <c r="U28" i="12"/>
  <c r="R28" i="12"/>
  <c r="W27" i="12"/>
  <c r="Q28" i="12"/>
  <c r="H28" i="12"/>
  <c r="J28" i="12"/>
  <c r="W24" i="12"/>
  <c r="I28" i="12"/>
  <c r="R65" i="13"/>
  <c r="O65" i="13"/>
  <c r="W65" i="13"/>
  <c r="Q65" i="13"/>
  <c r="P65" i="13"/>
  <c r="M65" i="13"/>
  <c r="M174" i="12"/>
  <c r="H174" i="12"/>
  <c r="O174" i="12"/>
  <c r="N174" i="12"/>
  <c r="S174" i="12"/>
  <c r="Q8" i="12"/>
  <c r="P8" i="12"/>
  <c r="U8" i="12"/>
  <c r="W3" i="12"/>
  <c r="M8" i="12"/>
  <c r="J8" i="12"/>
  <c r="W4" i="12"/>
  <c r="M17" i="13"/>
  <c r="N17" i="13"/>
  <c r="S17" i="13"/>
  <c r="S2" i="12"/>
  <c r="N2" i="12"/>
  <c r="J2" i="12"/>
  <c r="I2" i="12"/>
  <c r="N9" i="15"/>
  <c r="H9" i="15"/>
  <c r="U9" i="15"/>
  <c r="R9" i="15"/>
  <c r="N61" i="13"/>
  <c r="O61" i="13"/>
  <c r="Q61" i="13"/>
  <c r="P61" i="13"/>
  <c r="R61" i="13"/>
  <c r="N7" i="12"/>
  <c r="S7" i="12"/>
  <c r="Q7" i="12"/>
  <c r="J7" i="12"/>
  <c r="M7" i="12"/>
  <c r="S38" i="12"/>
  <c r="Q32" i="12"/>
  <c r="N32" i="12"/>
  <c r="O16" i="13"/>
  <c r="H31" i="13"/>
  <c r="U41" i="13"/>
  <c r="N68" i="13"/>
  <c r="Q76" i="13"/>
  <c r="P77" i="13"/>
  <c r="M83" i="13"/>
  <c r="W78" i="13"/>
  <c r="H38" i="14"/>
  <c r="J50" i="13"/>
  <c r="W21" i="14"/>
  <c r="W30" i="12"/>
  <c r="J79" i="13"/>
  <c r="H36" i="14"/>
  <c r="U11" i="12"/>
  <c r="Q16" i="12"/>
  <c r="P11" i="12"/>
  <c r="R38" i="12"/>
  <c r="S35" i="12"/>
  <c r="U4" i="12"/>
  <c r="M175" i="12"/>
  <c r="J31" i="13"/>
  <c r="J17" i="13"/>
  <c r="J16" i="13"/>
  <c r="H5" i="13"/>
  <c r="J41" i="13"/>
  <c r="P57" i="13"/>
  <c r="R68" i="13"/>
  <c r="N77" i="13"/>
  <c r="S77" i="13"/>
  <c r="Q27" i="14"/>
  <c r="U38" i="14"/>
  <c r="R36" i="14"/>
  <c r="M2" i="15"/>
  <c r="J29" i="13"/>
  <c r="H32" i="12"/>
  <c r="W37" i="12"/>
  <c r="O41" i="12"/>
  <c r="U38" i="12"/>
  <c r="R11" i="12"/>
  <c r="M11" i="12"/>
  <c r="R4" i="12"/>
  <c r="P175" i="12"/>
  <c r="M28" i="13"/>
  <c r="H16" i="13"/>
  <c r="M16" i="13"/>
  <c r="J22" i="13"/>
  <c r="H41" i="13"/>
  <c r="H56" i="13"/>
  <c r="R57" i="13"/>
  <c r="N57" i="13"/>
  <c r="M57" i="13"/>
  <c r="I68" i="13"/>
  <c r="H77" i="13"/>
  <c r="W80" i="13"/>
  <c r="J27" i="14"/>
  <c r="N38" i="14"/>
  <c r="J36" i="14"/>
  <c r="P14" i="14"/>
  <c r="I14" i="14"/>
  <c r="O9" i="15"/>
  <c r="W14" i="13"/>
  <c r="W9" i="15"/>
  <c r="I41" i="12"/>
  <c r="J38" i="12"/>
  <c r="I32" i="12"/>
  <c r="H11" i="12"/>
  <c r="M4" i="12"/>
  <c r="P4" i="12"/>
  <c r="Q38" i="12"/>
  <c r="Q4" i="12"/>
  <c r="N175" i="12"/>
  <c r="J28" i="13"/>
  <c r="J11" i="13"/>
  <c r="I28" i="13"/>
  <c r="H40" i="13"/>
  <c r="H57" i="13"/>
  <c r="O64" i="13"/>
  <c r="R27" i="14"/>
  <c r="N27" i="14"/>
  <c r="I27" i="14"/>
  <c r="J37" i="13"/>
  <c r="S75" i="13"/>
  <c r="U75" i="13"/>
  <c r="R75" i="13"/>
  <c r="M75" i="13"/>
  <c r="P75" i="13"/>
  <c r="R5" i="12"/>
  <c r="N5" i="12"/>
  <c r="M5" i="12"/>
  <c r="U5" i="12"/>
  <c r="P5" i="12"/>
  <c r="H5" i="12"/>
  <c r="M16" i="14"/>
  <c r="U16" i="14"/>
  <c r="H16" i="14"/>
  <c r="P16" i="14"/>
  <c r="I16" i="14"/>
  <c r="O16" i="14"/>
  <c r="W176" i="12"/>
  <c r="W175" i="12"/>
  <c r="S176" i="12"/>
  <c r="W174" i="12"/>
  <c r="P176" i="12"/>
  <c r="Q176" i="12"/>
  <c r="O176" i="12"/>
  <c r="P9" i="12"/>
  <c r="N9" i="12"/>
  <c r="M9" i="12"/>
  <c r="S9" i="12"/>
  <c r="U9" i="12"/>
  <c r="R9" i="12"/>
  <c r="H42" i="13"/>
  <c r="I42" i="13"/>
  <c r="U42" i="13"/>
  <c r="N42" i="13"/>
  <c r="S69" i="13"/>
  <c r="O69" i="13"/>
  <c r="W69" i="13"/>
  <c r="Q69" i="13"/>
  <c r="P69" i="13"/>
  <c r="P46" i="13"/>
  <c r="J46" i="13"/>
  <c r="R46" i="13"/>
  <c r="S46" i="13"/>
  <c r="N46" i="13"/>
  <c r="R6" i="13"/>
  <c r="Q6" i="13"/>
  <c r="N6" i="13"/>
  <c r="O6" i="13"/>
  <c r="W6" i="13"/>
  <c r="I6" i="13"/>
  <c r="W59" i="13"/>
  <c r="I59" i="13"/>
  <c r="M59" i="13"/>
  <c r="P59" i="13"/>
  <c r="H9" i="12"/>
  <c r="Q9" i="12"/>
  <c r="U6" i="13"/>
  <c r="M34" i="13"/>
  <c r="M46" i="13"/>
  <c r="H59" i="13"/>
  <c r="O59" i="13"/>
  <c r="I64" i="13"/>
  <c r="M69" i="13"/>
  <c r="W82" i="13"/>
  <c r="U69" i="13"/>
  <c r="W7" i="15"/>
  <c r="J11" i="15"/>
  <c r="W53" i="13"/>
  <c r="P53" i="13"/>
  <c r="Q53" i="13"/>
  <c r="H53" i="13"/>
  <c r="O53" i="13"/>
  <c r="S53" i="13"/>
  <c r="Q25" i="12"/>
  <c r="P25" i="12"/>
  <c r="W25" i="12"/>
  <c r="R25" i="12"/>
  <c r="S73" i="13"/>
  <c r="I73" i="13"/>
  <c r="M73" i="13"/>
  <c r="R73" i="13"/>
  <c r="N16" i="12"/>
  <c r="U16" i="12"/>
  <c r="O16" i="12"/>
  <c r="M16" i="12"/>
  <c r="U14" i="14"/>
  <c r="Q14" i="14"/>
  <c r="M14" i="14"/>
  <c r="O14" i="14"/>
  <c r="O48" i="13"/>
  <c r="S48" i="13"/>
  <c r="N48" i="13"/>
  <c r="R48" i="13"/>
  <c r="J48" i="13"/>
  <c r="M48" i="13"/>
  <c r="Q48" i="13"/>
  <c r="W40" i="13"/>
  <c r="N40" i="13"/>
  <c r="S40" i="13"/>
  <c r="R40" i="13"/>
  <c r="M40" i="13"/>
  <c r="Q40" i="13"/>
  <c r="M11" i="13"/>
  <c r="N11" i="13"/>
  <c r="S11" i="13"/>
  <c r="W11" i="13"/>
  <c r="Q11" i="13"/>
  <c r="U35" i="12"/>
  <c r="I35" i="12"/>
  <c r="Q35" i="12"/>
  <c r="P35" i="12"/>
  <c r="N35" i="12"/>
  <c r="R35" i="12"/>
  <c r="J9" i="12"/>
  <c r="I16" i="12"/>
  <c r="I25" i="12"/>
  <c r="N25" i="12"/>
  <c r="O33" i="12"/>
  <c r="W31" i="12"/>
  <c r="W16" i="12"/>
  <c r="M41" i="12"/>
  <c r="W41" i="12"/>
  <c r="N176" i="12"/>
  <c r="P11" i="13"/>
  <c r="O42" i="13"/>
  <c r="J53" i="13"/>
  <c r="P64" i="13"/>
  <c r="R69" i="13"/>
  <c r="N73" i="13"/>
  <c r="U59" i="13"/>
  <c r="Q29" i="14"/>
  <c r="R14" i="14"/>
  <c r="J28" i="14"/>
  <c r="O19" i="14"/>
  <c r="W13" i="14"/>
  <c r="W16" i="14"/>
  <c r="W19" i="14"/>
  <c r="W17" i="14"/>
  <c r="W18" i="14"/>
  <c r="W14" i="14"/>
  <c r="W15" i="14"/>
  <c r="Q19" i="14"/>
  <c r="P19" i="14"/>
  <c r="I19" i="14"/>
  <c r="R11" i="14"/>
  <c r="W11" i="14"/>
  <c r="P11" i="14"/>
  <c r="I36" i="14"/>
  <c r="W36" i="14"/>
  <c r="M36" i="14"/>
  <c r="Q36" i="14"/>
  <c r="O36" i="14"/>
  <c r="W6" i="15"/>
  <c r="R10" i="15"/>
  <c r="Q11" i="15"/>
  <c r="W45" i="13"/>
  <c r="I45" i="13"/>
  <c r="M45" i="13"/>
  <c r="P45" i="13"/>
  <c r="O18" i="12"/>
  <c r="Q18" i="12"/>
  <c r="P18" i="12"/>
  <c r="N18" i="12"/>
  <c r="U18" i="12"/>
  <c r="W4" i="15"/>
  <c r="I4" i="15"/>
  <c r="Q4" i="15"/>
  <c r="J4" i="15"/>
  <c r="P4" i="15"/>
  <c r="W5" i="14"/>
  <c r="W4" i="14"/>
  <c r="W3" i="14"/>
  <c r="W6" i="14"/>
  <c r="W7" i="14"/>
  <c r="W2" i="14"/>
  <c r="P7" i="14"/>
  <c r="M7" i="14"/>
  <c r="O7" i="14"/>
  <c r="R7" i="14"/>
  <c r="Q7" i="14"/>
  <c r="N7" i="14"/>
  <c r="N172" i="12"/>
  <c r="M172" i="12"/>
  <c r="R172" i="12"/>
  <c r="O23" i="12"/>
  <c r="Q23" i="12"/>
  <c r="P23" i="12"/>
  <c r="M23" i="12"/>
  <c r="W63" i="13"/>
  <c r="U63" i="13"/>
  <c r="S63" i="13"/>
  <c r="M63" i="13"/>
  <c r="N63" i="13"/>
  <c r="P63" i="13"/>
  <c r="S55" i="13"/>
  <c r="M55" i="13"/>
  <c r="I55" i="13"/>
  <c r="O55" i="13"/>
  <c r="R55" i="13"/>
  <c r="Q5" i="12"/>
  <c r="Q10" i="12"/>
  <c r="M10" i="12"/>
  <c r="N10" i="12"/>
  <c r="P10" i="12"/>
  <c r="S10" i="12"/>
  <c r="W16" i="13"/>
  <c r="R16" i="13"/>
  <c r="Q16" i="13"/>
  <c r="S16" i="13"/>
  <c r="N16" i="13"/>
  <c r="W4" i="13"/>
  <c r="R4" i="13"/>
  <c r="Q4" i="13"/>
  <c r="O4" i="13"/>
  <c r="S4" i="13"/>
  <c r="U4" i="13"/>
  <c r="R44" i="13"/>
  <c r="M44" i="13"/>
  <c r="S44" i="13"/>
  <c r="U44" i="13"/>
  <c r="N44" i="13"/>
  <c r="I44" i="13"/>
  <c r="J44" i="13"/>
  <c r="R176" i="12"/>
  <c r="S6" i="13"/>
  <c r="U40" i="12"/>
  <c r="P40" i="12"/>
  <c r="Q40" i="12"/>
  <c r="O2" i="15"/>
  <c r="P2" i="15"/>
  <c r="O34" i="12"/>
  <c r="N34" i="12"/>
  <c r="R34" i="12"/>
  <c r="W29" i="12"/>
  <c r="W34" i="12"/>
  <c r="W32" i="12"/>
  <c r="M40" i="12"/>
  <c r="M176" i="12"/>
  <c r="R2" i="14"/>
  <c r="U28" i="14"/>
  <c r="Q16" i="14"/>
  <c r="M29" i="14"/>
  <c r="R29" i="14"/>
  <c r="H29" i="14"/>
  <c r="I29" i="14"/>
  <c r="S29" i="14"/>
  <c r="N29" i="14"/>
  <c r="U29" i="14"/>
  <c r="W3" i="15"/>
  <c r="W9" i="13"/>
  <c r="U9" i="13"/>
  <c r="N9" i="13"/>
  <c r="S9" i="13"/>
  <c r="M9" i="13"/>
  <c r="P9" i="13"/>
  <c r="H9" i="13"/>
  <c r="P14" i="12"/>
  <c r="Q14" i="12"/>
  <c r="R14" i="12"/>
  <c r="W14" i="12"/>
  <c r="J14" i="12"/>
  <c r="H14" i="12"/>
  <c r="R20" i="12"/>
  <c r="U20" i="12"/>
  <c r="M20" i="12"/>
  <c r="O20" i="12"/>
  <c r="I20" i="12"/>
  <c r="J20" i="12"/>
  <c r="J35" i="12"/>
  <c r="I33" i="12"/>
  <c r="M34" i="12"/>
  <c r="P16" i="12"/>
  <c r="R40" i="12"/>
  <c r="S41" i="12"/>
  <c r="P34" i="13"/>
  <c r="U34" i="13"/>
  <c r="U48" i="13"/>
  <c r="H52" i="13"/>
  <c r="R52" i="13"/>
  <c r="R28" i="14"/>
  <c r="W5" i="15"/>
  <c r="W172" i="12"/>
  <c r="I40" i="12"/>
  <c r="J41" i="12"/>
  <c r="I5" i="12"/>
  <c r="J16" i="12"/>
  <c r="S40" i="12"/>
  <c r="N14" i="12"/>
  <c r="M35" i="12"/>
  <c r="M14" i="12"/>
  <c r="I176" i="12"/>
  <c r="P6" i="13"/>
  <c r="I46" i="13"/>
  <c r="P42" i="13"/>
  <c r="H48" i="13"/>
  <c r="N53" i="13"/>
  <c r="N59" i="13"/>
  <c r="O75" i="13"/>
  <c r="S59" i="13"/>
  <c r="S16" i="14"/>
  <c r="N26" i="12"/>
  <c r="O26" i="12"/>
  <c r="Q26" i="12"/>
  <c r="P26" i="12"/>
  <c r="U26" i="12"/>
  <c r="S71" i="13"/>
  <c r="U71" i="13"/>
  <c r="N71" i="13"/>
  <c r="M71" i="13"/>
  <c r="Q71" i="13"/>
  <c r="W8" i="13"/>
  <c r="S8" i="13"/>
  <c r="Q8" i="13"/>
  <c r="M8" i="13"/>
  <c r="I8" i="13"/>
  <c r="O19" i="12"/>
  <c r="M19" i="12"/>
  <c r="U19" i="12"/>
  <c r="J19" i="12"/>
  <c r="P19" i="12"/>
  <c r="S19" i="12"/>
  <c r="N2" i="14"/>
  <c r="J2" i="14"/>
  <c r="U2" i="14"/>
  <c r="H2" i="14"/>
  <c r="M2" i="14"/>
  <c r="S2" i="14"/>
  <c r="O2" i="14"/>
  <c r="O5" i="12"/>
  <c r="S42" i="13"/>
  <c r="I69" i="13"/>
  <c r="S28" i="14"/>
  <c r="W28" i="14"/>
  <c r="N28" i="14"/>
  <c r="O28" i="14"/>
  <c r="P28" i="14"/>
  <c r="Q28" i="14"/>
  <c r="I28" i="14"/>
  <c r="Q9" i="15"/>
  <c r="P9" i="15"/>
  <c r="S64" i="13"/>
  <c r="U64" i="13"/>
  <c r="Q64" i="13"/>
  <c r="W64" i="13"/>
  <c r="N64" i="13"/>
  <c r="R64" i="13"/>
  <c r="N34" i="13"/>
  <c r="W34" i="13"/>
  <c r="S34" i="13"/>
  <c r="R34" i="13"/>
  <c r="O34" i="13"/>
  <c r="H34" i="13"/>
  <c r="I11" i="15"/>
  <c r="W10" i="15"/>
  <c r="W11" i="15"/>
  <c r="H11" i="15"/>
  <c r="M11" i="15"/>
  <c r="W52" i="13"/>
  <c r="S52" i="13"/>
  <c r="I52" i="13"/>
  <c r="M52" i="13"/>
  <c r="O52" i="13"/>
  <c r="J52" i="13"/>
  <c r="P52" i="13"/>
  <c r="N52" i="13"/>
  <c r="S28" i="13"/>
  <c r="H28" i="13"/>
  <c r="O28" i="13"/>
  <c r="P28" i="13"/>
  <c r="N28" i="13"/>
  <c r="R41" i="12"/>
  <c r="P41" i="12"/>
  <c r="W40" i="12"/>
  <c r="W39" i="12"/>
  <c r="U41" i="12"/>
  <c r="Q41" i="12"/>
  <c r="U82" i="13"/>
  <c r="N82" i="13"/>
  <c r="M82" i="13"/>
  <c r="R82" i="13"/>
  <c r="P82" i="13"/>
  <c r="Q82" i="13"/>
  <c r="H40" i="12"/>
  <c r="S5" i="12"/>
  <c r="R42" i="13"/>
  <c r="N69" i="13"/>
  <c r="I75" i="13"/>
  <c r="W46" i="13"/>
  <c r="J16" i="14"/>
  <c r="U73" i="13"/>
  <c r="W198" i="12"/>
  <c r="R198" i="12"/>
  <c r="Q198" i="12"/>
  <c r="H198" i="12"/>
  <c r="S198" i="12"/>
  <c r="I198" i="12"/>
  <c r="P198" i="12"/>
  <c r="M33" i="12"/>
  <c r="U33" i="12"/>
  <c r="Q33" i="12"/>
  <c r="P33" i="12"/>
  <c r="N33" i="12"/>
  <c r="U83" i="13"/>
  <c r="W83" i="13"/>
  <c r="W79" i="13"/>
  <c r="W81" i="13"/>
  <c r="P83" i="13"/>
  <c r="S83" i="13"/>
  <c r="Q83" i="13"/>
  <c r="N83" i="13"/>
  <c r="W22" i="13"/>
  <c r="R22" i="13"/>
  <c r="O22" i="13"/>
  <c r="Q22" i="13"/>
  <c r="I22" i="13"/>
  <c r="U22" i="13"/>
  <c r="M22" i="13"/>
  <c r="W76" i="13"/>
  <c r="W71" i="13"/>
  <c r="S76" i="13"/>
  <c r="W75" i="13"/>
  <c r="W73" i="13"/>
  <c r="R76" i="13"/>
  <c r="U76" i="13"/>
  <c r="M76" i="13"/>
  <c r="W72" i="13"/>
  <c r="N76" i="13"/>
  <c r="I76" i="13"/>
  <c r="M10" i="15"/>
  <c r="I10" i="15"/>
  <c r="U10" i="15"/>
  <c r="Q10" i="15"/>
  <c r="S10" i="15"/>
  <c r="J10" i="15"/>
  <c r="O10" i="15"/>
  <c r="W36" i="12"/>
  <c r="O40" i="12"/>
  <c r="O14" i="12"/>
  <c r="N40" i="12"/>
  <c r="M198" i="12"/>
  <c r="H176" i="12"/>
  <c r="H11" i="13"/>
  <c r="Q42" i="13"/>
  <c r="M42" i="13"/>
  <c r="Q75" i="13"/>
  <c r="I83" i="13"/>
  <c r="N16" i="14"/>
  <c r="P2" i="14"/>
  <c r="P10" i="15"/>
  <c r="H34" i="12"/>
  <c r="J40" i="12"/>
  <c r="H16" i="12"/>
  <c r="H25" i="12"/>
  <c r="J5" i="12"/>
  <c r="W5" i="12"/>
  <c r="U34" i="12"/>
  <c r="O9" i="12"/>
  <c r="W35" i="12"/>
  <c r="S25" i="12"/>
  <c r="W20" i="12"/>
  <c r="Q34" i="13"/>
  <c r="S22" i="13"/>
  <c r="O11" i="13"/>
  <c r="M6" i="13"/>
  <c r="J6" i="13"/>
  <c r="N22" i="13"/>
  <c r="R28" i="13"/>
  <c r="I40" i="13"/>
  <c r="O46" i="13"/>
  <c r="U52" i="13"/>
  <c r="M53" i="13"/>
  <c r="R59" i="13"/>
  <c r="P73" i="13"/>
  <c r="N75" i="13"/>
  <c r="I82" i="13"/>
  <c r="S82" i="13"/>
  <c r="P29" i="14"/>
  <c r="Q2" i="14"/>
  <c r="U11" i="15"/>
  <c r="S9" i="15"/>
  <c r="R197" i="12"/>
  <c r="P197" i="12"/>
  <c r="O197" i="12"/>
  <c r="M197" i="12"/>
  <c r="W17" i="13"/>
  <c r="P17" i="13"/>
  <c r="O17" i="13"/>
  <c r="U17" i="13"/>
  <c r="R17" i="13"/>
  <c r="Q17" i="13"/>
  <c r="U2" i="12"/>
  <c r="W2" i="12"/>
  <c r="R2" i="12"/>
  <c r="U27" i="12"/>
  <c r="M27" i="12"/>
  <c r="P27" i="12"/>
  <c r="N27" i="12"/>
  <c r="O27" i="12"/>
  <c r="I27" i="12"/>
  <c r="O43" i="13"/>
  <c r="W42" i="13"/>
  <c r="W43" i="13"/>
  <c r="W41" i="13"/>
  <c r="N43" i="13"/>
  <c r="P43" i="13"/>
  <c r="I43" i="13"/>
  <c r="M43" i="13"/>
  <c r="J9" i="13"/>
  <c r="J34" i="13"/>
  <c r="H45" i="13"/>
  <c r="H43" i="13"/>
  <c r="H69" i="13"/>
  <c r="O8" i="14"/>
  <c r="W2" i="15"/>
  <c r="W32" i="13"/>
  <c r="W62" i="13"/>
  <c r="S70" i="13"/>
  <c r="W67" i="13"/>
  <c r="W68" i="13"/>
  <c r="U70" i="13"/>
  <c r="W70" i="13"/>
  <c r="W47" i="13"/>
  <c r="W30" i="13"/>
  <c r="W37" i="13"/>
  <c r="W15" i="13"/>
  <c r="W8" i="14"/>
  <c r="U74" i="13"/>
  <c r="W25" i="13"/>
  <c r="H22" i="13"/>
  <c r="H73" i="13"/>
  <c r="H75" i="13"/>
  <c r="U67" i="13"/>
  <c r="W61" i="13"/>
  <c r="S61" i="13"/>
  <c r="S79" i="13"/>
  <c r="U79" i="13"/>
  <c r="S68" i="13"/>
  <c r="H46" i="13"/>
  <c r="H63" i="13"/>
  <c r="H64" i="13"/>
  <c r="H83" i="13"/>
  <c r="I8" i="14"/>
  <c r="M50" i="13"/>
  <c r="W49" i="13"/>
  <c r="W48" i="13"/>
  <c r="S57" i="13"/>
  <c r="O81" i="13"/>
  <c r="U81" i="13"/>
  <c r="U58" i="13"/>
  <c r="W18" i="13"/>
  <c r="W39" i="13"/>
  <c r="W77" i="13"/>
  <c r="J4" i="13"/>
  <c r="H6" i="13"/>
  <c r="H17" i="13"/>
  <c r="J40" i="13"/>
  <c r="J42" i="13"/>
  <c r="H71" i="13"/>
  <c r="W8" i="15"/>
  <c r="S56" i="13"/>
  <c r="S65" i="13"/>
  <c r="U65" i="13"/>
  <c r="W23" i="13"/>
  <c r="W20" i="13"/>
  <c r="W19" i="13"/>
  <c r="W12" i="13"/>
  <c r="W29" i="13"/>
  <c r="W28" i="13"/>
  <c r="W24" i="13"/>
  <c r="Q2" i="15"/>
  <c r="N2" i="15"/>
  <c r="S2" i="15"/>
  <c r="P11" i="15"/>
  <c r="Q3" i="15"/>
  <c r="O11" i="15"/>
  <c r="I2" i="15"/>
  <c r="S3" i="15"/>
  <c r="O3" i="15"/>
  <c r="J2" i="15"/>
  <c r="H2" i="15"/>
  <c r="R2" i="15"/>
  <c r="R3" i="15"/>
  <c r="S11" i="15"/>
  <c r="Q195" i="12"/>
  <c r="R195" i="12"/>
  <c r="H195" i="12"/>
  <c r="O195" i="12"/>
  <c r="P195" i="12"/>
  <c r="S195" i="12"/>
  <c r="W195" i="12"/>
  <c r="I195" i="12"/>
  <c r="M195" i="12"/>
  <c r="J7" i="15"/>
  <c r="R7" i="15"/>
  <c r="M7" i="15"/>
  <c r="P7" i="15"/>
  <c r="S7" i="15"/>
  <c r="U7" i="15"/>
  <c r="Q7" i="15"/>
  <c r="N7" i="15"/>
  <c r="O7" i="15"/>
  <c r="H7" i="15"/>
  <c r="I7" i="15"/>
  <c r="I6" i="15"/>
  <c r="Q6" i="15"/>
  <c r="P6" i="15"/>
  <c r="J6" i="15"/>
  <c r="R6" i="15"/>
  <c r="S6" i="15"/>
  <c r="O6" i="15"/>
  <c r="H6" i="15"/>
  <c r="M6" i="15"/>
  <c r="U6" i="15"/>
  <c r="N6" i="15"/>
  <c r="S8" i="15"/>
  <c r="M8" i="15"/>
  <c r="U8" i="15"/>
  <c r="N8" i="15"/>
  <c r="O8" i="15"/>
  <c r="H8" i="15"/>
  <c r="P8" i="15"/>
  <c r="I8" i="15"/>
  <c r="Q8" i="15"/>
  <c r="J8" i="15"/>
  <c r="R8" i="15"/>
  <c r="S36" i="14"/>
  <c r="H40" i="14"/>
  <c r="M40" i="14"/>
  <c r="O40" i="14"/>
  <c r="I40" i="14"/>
  <c r="N40" i="14"/>
  <c r="P36" i="14"/>
  <c r="S11" i="14"/>
  <c r="H11" i="14"/>
  <c r="I11" i="14"/>
  <c r="O11" i="14"/>
  <c r="M11" i="14"/>
  <c r="R3" i="14"/>
  <c r="Q11" i="14"/>
  <c r="J11" i="14"/>
  <c r="U11" i="14"/>
  <c r="M6" i="14"/>
  <c r="N11" i="14"/>
  <c r="U3" i="14"/>
  <c r="S6" i="14"/>
  <c r="Q6" i="14"/>
  <c r="J19" i="14"/>
  <c r="N8" i="14"/>
  <c r="N6" i="14"/>
  <c r="M19" i="14"/>
  <c r="I6" i="14"/>
  <c r="R8" i="14"/>
  <c r="H19" i="14"/>
  <c r="U6" i="14"/>
  <c r="U19" i="14"/>
  <c r="H8" i="14"/>
  <c r="U8" i="14"/>
  <c r="P8" i="14"/>
  <c r="J8" i="14"/>
  <c r="Q3" i="14"/>
  <c r="N3" i="14"/>
  <c r="J3" i="14"/>
  <c r="O3" i="14"/>
  <c r="S3" i="14"/>
  <c r="H6" i="14"/>
  <c r="M3" i="14"/>
  <c r="H3" i="14"/>
  <c r="P6" i="14"/>
  <c r="P3" i="14"/>
  <c r="J6" i="14"/>
  <c r="H24" i="10"/>
  <c r="AC2" i="4"/>
  <c r="AC48" i="4"/>
  <c r="AC47" i="4"/>
  <c r="AC46" i="4"/>
  <c r="AC45" i="4"/>
  <c r="AC44" i="4"/>
  <c r="AC43" i="4"/>
  <c r="AC42" i="4"/>
  <c r="AC41" i="4"/>
  <c r="AC40" i="4"/>
  <c r="AC39" i="4"/>
  <c r="AC38" i="4"/>
  <c r="AC37" i="4"/>
  <c r="AC36" i="4"/>
  <c r="AC35" i="4"/>
  <c r="AC34" i="4"/>
  <c r="AC33" i="4"/>
  <c r="AC32" i="4"/>
  <c r="AC31" i="4"/>
  <c r="AC30" i="4"/>
  <c r="AC29" i="4"/>
  <c r="AC28" i="4"/>
  <c r="AC27" i="4"/>
  <c r="AC26" i="4"/>
  <c r="AC25" i="4"/>
  <c r="AC24" i="4"/>
  <c r="AC23" i="4"/>
  <c r="AC22" i="4"/>
  <c r="AC21" i="4"/>
  <c r="AC20" i="4"/>
  <c r="AC19" i="4"/>
  <c r="AC18" i="4"/>
  <c r="AC17" i="4"/>
  <c r="AC16" i="4"/>
  <c r="AC15" i="4"/>
  <c r="AC14" i="4"/>
  <c r="AC13" i="4"/>
  <c r="AC12" i="4"/>
  <c r="AC11" i="4"/>
  <c r="AC10" i="4"/>
  <c r="AC9" i="4"/>
  <c r="AC8" i="4"/>
  <c r="AC7" i="4"/>
  <c r="AC6" i="4"/>
  <c r="AC5" i="4"/>
  <c r="AC4" i="4"/>
  <c r="AC3" i="4"/>
  <c r="AK3" i="4"/>
  <c r="AF73" i="9" l="1"/>
  <c r="AE73" i="9"/>
  <c r="K73" i="9" s="1"/>
  <c r="W73" i="9"/>
  <c r="L73" i="9"/>
  <c r="AF72" i="9"/>
  <c r="AE72" i="9"/>
  <c r="K72" i="9" s="1"/>
  <c r="W72" i="9"/>
  <c r="L72" i="9"/>
  <c r="AF71" i="9"/>
  <c r="AE71" i="9"/>
  <c r="K71" i="9" s="1"/>
  <c r="W71" i="9"/>
  <c r="L71" i="9"/>
  <c r="AF70" i="9"/>
  <c r="AE70" i="9"/>
  <c r="K70" i="9" s="1"/>
  <c r="W70" i="9"/>
  <c r="L70" i="9"/>
  <c r="AF69" i="9"/>
  <c r="AE69" i="9"/>
  <c r="K69" i="9" s="1"/>
  <c r="W69" i="9"/>
  <c r="D69" i="9" s="1"/>
  <c r="L69" i="9"/>
  <c r="AF68" i="9"/>
  <c r="AE68" i="9"/>
  <c r="K68" i="9" s="1"/>
  <c r="W68" i="9"/>
  <c r="D68" i="9" s="1"/>
  <c r="L68" i="9"/>
  <c r="AF67" i="9"/>
  <c r="AE67" i="9"/>
  <c r="K67" i="9" s="1"/>
  <c r="W67" i="9"/>
  <c r="L67" i="9"/>
  <c r="AF66" i="9"/>
  <c r="AE66" i="9"/>
  <c r="K66" i="9" s="1"/>
  <c r="W66" i="9"/>
  <c r="L66" i="9"/>
  <c r="AF65" i="9"/>
  <c r="AE65" i="9"/>
  <c r="K65" i="9" s="1"/>
  <c r="W65" i="9"/>
  <c r="L65" i="9"/>
  <c r="AF64" i="9"/>
  <c r="AE64" i="9"/>
  <c r="K64" i="9" s="1"/>
  <c r="W64" i="9"/>
  <c r="L64" i="9"/>
  <c r="AF63" i="9"/>
  <c r="AE63" i="9"/>
  <c r="K63" i="9" s="1"/>
  <c r="W63" i="9"/>
  <c r="L63" i="9"/>
  <c r="AF62" i="9"/>
  <c r="AE62" i="9"/>
  <c r="K62" i="9" s="1"/>
  <c r="W62" i="9"/>
  <c r="L62" i="9"/>
  <c r="AF61" i="9"/>
  <c r="AE61" i="9"/>
  <c r="K61" i="9" s="1"/>
  <c r="W61" i="9"/>
  <c r="L61" i="9"/>
  <c r="AF60" i="9"/>
  <c r="AE60" i="9"/>
  <c r="K60" i="9" s="1"/>
  <c r="W60" i="9"/>
  <c r="L60" i="9"/>
  <c r="AF59" i="9"/>
  <c r="AE59" i="9"/>
  <c r="K59" i="9" s="1"/>
  <c r="W59" i="9"/>
  <c r="D59" i="9" s="1"/>
  <c r="L59" i="9"/>
  <c r="AF58" i="9"/>
  <c r="AE58" i="9"/>
  <c r="K58" i="9" s="1"/>
  <c r="W58" i="9"/>
  <c r="L58" i="9"/>
  <c r="AF57" i="9"/>
  <c r="AE57" i="9"/>
  <c r="K57" i="9" s="1"/>
  <c r="W57" i="9"/>
  <c r="D57" i="9" s="1"/>
  <c r="L57" i="9"/>
  <c r="AF56" i="9"/>
  <c r="AE56" i="9"/>
  <c r="K56" i="9" s="1"/>
  <c r="W56" i="9"/>
  <c r="L56" i="9"/>
  <c r="AF55" i="9"/>
  <c r="AE55" i="9"/>
  <c r="K55" i="9" s="1"/>
  <c r="W55" i="9"/>
  <c r="D55" i="9" s="1"/>
  <c r="L55" i="9"/>
  <c r="AF54" i="9"/>
  <c r="AE54" i="9"/>
  <c r="K54" i="9" s="1"/>
  <c r="W54" i="9"/>
  <c r="L54" i="9"/>
  <c r="AF53" i="9"/>
  <c r="AE53" i="9"/>
  <c r="K53" i="9" s="1"/>
  <c r="W53" i="9"/>
  <c r="L53" i="9"/>
  <c r="AF52" i="9"/>
  <c r="AE52" i="9"/>
  <c r="K52" i="9" s="1"/>
  <c r="W52" i="9"/>
  <c r="L52" i="9"/>
  <c r="AF51" i="9"/>
  <c r="AE51" i="9"/>
  <c r="K51" i="9" s="1"/>
  <c r="W51" i="9"/>
  <c r="L51" i="9"/>
  <c r="AF50" i="9"/>
  <c r="AE50" i="9"/>
  <c r="K50" i="9" s="1"/>
  <c r="W50" i="9"/>
  <c r="L50" i="9"/>
  <c r="AF49" i="9"/>
  <c r="AE49" i="9"/>
  <c r="K49" i="9" s="1"/>
  <c r="W49" i="9"/>
  <c r="L49" i="9"/>
  <c r="AF48" i="9"/>
  <c r="AE48" i="9"/>
  <c r="K48" i="9" s="1"/>
  <c r="W48" i="9"/>
  <c r="L48" i="9"/>
  <c r="AF47" i="9"/>
  <c r="AE47" i="9"/>
  <c r="K47" i="9" s="1"/>
  <c r="W47" i="9"/>
  <c r="L47" i="9"/>
  <c r="AF46" i="9"/>
  <c r="AE46" i="9"/>
  <c r="K46" i="9" s="1"/>
  <c r="W46" i="9"/>
  <c r="L46" i="9"/>
  <c r="AF45" i="9"/>
  <c r="AE45" i="9"/>
  <c r="K45" i="9" s="1"/>
  <c r="W45" i="9"/>
  <c r="D45" i="9" s="1"/>
  <c r="L45" i="9"/>
  <c r="AF44" i="9"/>
  <c r="AE44" i="9"/>
  <c r="K44" i="9" s="1"/>
  <c r="W44" i="9"/>
  <c r="L44" i="9"/>
  <c r="AF43" i="9"/>
  <c r="AE43" i="9"/>
  <c r="K43" i="9" s="1"/>
  <c r="W43" i="9"/>
  <c r="D43" i="9" s="1"/>
  <c r="L43" i="9"/>
  <c r="AF42" i="9"/>
  <c r="AE42" i="9"/>
  <c r="K42" i="9" s="1"/>
  <c r="W42" i="9"/>
  <c r="L42" i="9"/>
  <c r="AF41" i="9"/>
  <c r="AE41" i="9"/>
  <c r="K41" i="9" s="1"/>
  <c r="W41" i="9"/>
  <c r="L41" i="9"/>
  <c r="AF40" i="9"/>
  <c r="AE40" i="9"/>
  <c r="K40" i="9" s="1"/>
  <c r="W40" i="9"/>
  <c r="L40" i="9"/>
  <c r="AF39" i="9"/>
  <c r="AE39" i="9"/>
  <c r="K39" i="9" s="1"/>
  <c r="W39" i="9"/>
  <c r="L39" i="9"/>
  <c r="AF38" i="9"/>
  <c r="AE38" i="9"/>
  <c r="K38" i="9" s="1"/>
  <c r="W38" i="9"/>
  <c r="L38" i="9"/>
  <c r="AF37" i="9"/>
  <c r="AE37" i="9"/>
  <c r="K37" i="9" s="1"/>
  <c r="W37" i="9"/>
  <c r="L37" i="9"/>
  <c r="AF36" i="9"/>
  <c r="AE36" i="9"/>
  <c r="K36" i="9" s="1"/>
  <c r="W36" i="9"/>
  <c r="L36" i="9"/>
  <c r="AF35" i="9"/>
  <c r="AE35" i="9"/>
  <c r="K35" i="9" s="1"/>
  <c r="W35" i="9"/>
  <c r="D35" i="9" s="1"/>
  <c r="L35" i="9"/>
  <c r="AF34" i="9"/>
  <c r="AE34" i="9"/>
  <c r="K34" i="9" s="1"/>
  <c r="W34" i="9"/>
  <c r="L34" i="9"/>
  <c r="AF33" i="9"/>
  <c r="AE33" i="9"/>
  <c r="K33" i="9" s="1"/>
  <c r="W33" i="9"/>
  <c r="L33" i="9"/>
  <c r="AF32" i="9"/>
  <c r="AE32" i="9"/>
  <c r="K32" i="9" s="1"/>
  <c r="W32" i="9"/>
  <c r="L32" i="9"/>
  <c r="AF31" i="9"/>
  <c r="AE31" i="9"/>
  <c r="K31" i="9" s="1"/>
  <c r="W31" i="9"/>
  <c r="D31" i="9" s="1"/>
  <c r="L31" i="9"/>
  <c r="AF30" i="9"/>
  <c r="AE30" i="9"/>
  <c r="K30" i="9" s="1"/>
  <c r="W30" i="9"/>
  <c r="L30" i="9"/>
  <c r="AF29" i="9"/>
  <c r="AE29" i="9"/>
  <c r="K29" i="9" s="1"/>
  <c r="W29" i="9"/>
  <c r="L29" i="9"/>
  <c r="AF28" i="9"/>
  <c r="AE28" i="9"/>
  <c r="K28" i="9" s="1"/>
  <c r="W28" i="9"/>
  <c r="L28" i="9"/>
  <c r="AF27" i="9"/>
  <c r="AE27" i="9"/>
  <c r="K27" i="9" s="1"/>
  <c r="W27" i="9"/>
  <c r="D27" i="9" s="1"/>
  <c r="L27" i="9"/>
  <c r="AF26" i="9"/>
  <c r="AE26" i="9"/>
  <c r="K26" i="9" s="1"/>
  <c r="W26" i="9"/>
  <c r="L26" i="9"/>
  <c r="AF25" i="9"/>
  <c r="AE25" i="9"/>
  <c r="K25" i="9" s="1"/>
  <c r="W25" i="9"/>
  <c r="D25" i="9" s="1"/>
  <c r="L25" i="9"/>
  <c r="AF24" i="9"/>
  <c r="AE24" i="9"/>
  <c r="K24" i="9" s="1"/>
  <c r="W24" i="9"/>
  <c r="L24" i="9"/>
  <c r="AF23" i="9"/>
  <c r="AE23" i="9"/>
  <c r="K23" i="9" s="1"/>
  <c r="W23" i="9"/>
  <c r="L23" i="9"/>
  <c r="AF22" i="9"/>
  <c r="AE22" i="9"/>
  <c r="K22" i="9" s="1"/>
  <c r="W22" i="9"/>
  <c r="L22" i="9"/>
  <c r="AF21" i="9"/>
  <c r="AE21" i="9"/>
  <c r="K21" i="9" s="1"/>
  <c r="W21" i="9"/>
  <c r="L21" i="9"/>
  <c r="AF20" i="9"/>
  <c r="AE20" i="9"/>
  <c r="K20" i="9" s="1"/>
  <c r="W20" i="9"/>
  <c r="D20" i="9" s="1"/>
  <c r="L20" i="9"/>
  <c r="AF19" i="9"/>
  <c r="AE19" i="9"/>
  <c r="K19" i="9" s="1"/>
  <c r="W19" i="9"/>
  <c r="D19" i="9" s="1"/>
  <c r="L19" i="9"/>
  <c r="AF18" i="9"/>
  <c r="AE18" i="9"/>
  <c r="K18" i="9" s="1"/>
  <c r="W18" i="9"/>
  <c r="D18" i="9" s="1"/>
  <c r="L18" i="9"/>
  <c r="AF17" i="9"/>
  <c r="AE17" i="9"/>
  <c r="K17" i="9" s="1"/>
  <c r="W17" i="9"/>
  <c r="L17" i="9"/>
  <c r="AF16" i="9"/>
  <c r="AE16" i="9"/>
  <c r="K16" i="9" s="1"/>
  <c r="W16" i="9"/>
  <c r="L16" i="9"/>
  <c r="AF15" i="9"/>
  <c r="AE15" i="9"/>
  <c r="K15" i="9" s="1"/>
  <c r="W15" i="9"/>
  <c r="L15" i="9"/>
  <c r="AF14" i="9"/>
  <c r="AE14" i="9"/>
  <c r="K14" i="9" s="1"/>
  <c r="W14" i="9"/>
  <c r="D14" i="9" s="1"/>
  <c r="L14" i="9"/>
  <c r="AF13" i="9"/>
  <c r="AE13" i="9"/>
  <c r="K13" i="9" s="1"/>
  <c r="W13" i="9"/>
  <c r="L13" i="9"/>
  <c r="AF12" i="9"/>
  <c r="AE12" i="9"/>
  <c r="K12" i="9" s="1"/>
  <c r="W12" i="9"/>
  <c r="L12" i="9"/>
  <c r="AF11" i="9"/>
  <c r="AE11" i="9"/>
  <c r="K11" i="9" s="1"/>
  <c r="W11" i="9"/>
  <c r="L11" i="9"/>
  <c r="AF10" i="9"/>
  <c r="AE10" i="9"/>
  <c r="K10" i="9" s="1"/>
  <c r="W10" i="9"/>
  <c r="L10" i="9"/>
  <c r="AF9" i="9"/>
  <c r="AE9" i="9"/>
  <c r="K9" i="9" s="1"/>
  <c r="W9" i="9"/>
  <c r="L9" i="9"/>
  <c r="AF8" i="9"/>
  <c r="AE8" i="9"/>
  <c r="K8" i="9" s="1"/>
  <c r="W8" i="9"/>
  <c r="L8" i="9"/>
  <c r="AF7" i="9"/>
  <c r="AE7" i="9"/>
  <c r="K7" i="9" s="1"/>
  <c r="W7" i="9"/>
  <c r="L7" i="9"/>
  <c r="AF6" i="9"/>
  <c r="AE6" i="9"/>
  <c r="K6" i="9" s="1"/>
  <c r="W6" i="9"/>
  <c r="L6" i="9"/>
  <c r="AJ5" i="9"/>
  <c r="AF5" i="9"/>
  <c r="AE5" i="9"/>
  <c r="K5" i="9" s="1"/>
  <c r="W5" i="9"/>
  <c r="L5" i="9"/>
  <c r="AF4" i="9"/>
  <c r="AE4" i="9"/>
  <c r="K4" i="9" s="1"/>
  <c r="W4" i="9"/>
  <c r="L4" i="9"/>
  <c r="AF3" i="9"/>
  <c r="AE3" i="9"/>
  <c r="K3" i="9" s="1"/>
  <c r="W3" i="9"/>
  <c r="L3" i="9"/>
  <c r="AF2" i="9"/>
  <c r="AE2" i="9"/>
  <c r="K2" i="9" s="1"/>
  <c r="W2" i="9"/>
  <c r="G2" i="9" s="1"/>
  <c r="U2" i="9" s="1"/>
  <c r="L2" i="9"/>
  <c r="AG78" i="8"/>
  <c r="K78" i="8" s="1"/>
  <c r="AH78" i="8"/>
  <c r="AG79" i="8"/>
  <c r="AH79" i="8"/>
  <c r="AG80" i="8"/>
  <c r="K80" i="8" s="1"/>
  <c r="AH80" i="8"/>
  <c r="AG81" i="8"/>
  <c r="K81" i="8" s="1"/>
  <c r="AH81" i="8"/>
  <c r="AG82" i="8"/>
  <c r="K82" i="8" s="1"/>
  <c r="AH82" i="8"/>
  <c r="AG83" i="8"/>
  <c r="K83" i="8" s="1"/>
  <c r="AH83" i="8"/>
  <c r="AG84" i="8"/>
  <c r="K84" i="8" s="1"/>
  <c r="AH84" i="8"/>
  <c r="AG85" i="8"/>
  <c r="K85" i="8" s="1"/>
  <c r="AH85" i="8"/>
  <c r="AG86" i="8"/>
  <c r="K86" i="8" s="1"/>
  <c r="AH86" i="8"/>
  <c r="AG87" i="8"/>
  <c r="AH87" i="8"/>
  <c r="AG88" i="8"/>
  <c r="AH88" i="8"/>
  <c r="AG89" i="8"/>
  <c r="K89" i="8" s="1"/>
  <c r="AH89" i="8"/>
  <c r="Y79" i="8"/>
  <c r="Y80" i="8"/>
  <c r="Y81" i="8"/>
  <c r="Y82" i="8"/>
  <c r="Y83" i="8"/>
  <c r="Y84" i="8"/>
  <c r="Y85" i="8"/>
  <c r="Y86" i="8"/>
  <c r="Y87" i="8"/>
  <c r="Y88" i="8"/>
  <c r="Y89" i="8"/>
  <c r="Y78" i="8"/>
  <c r="L88" i="8"/>
  <c r="L80" i="8"/>
  <c r="L81" i="8"/>
  <c r="L89" i="8"/>
  <c r="L79" i="8"/>
  <c r="L82" i="8"/>
  <c r="L83" i="8"/>
  <c r="L84" i="8"/>
  <c r="L85" i="8"/>
  <c r="L86" i="8"/>
  <c r="L87" i="8"/>
  <c r="L78" i="8"/>
  <c r="L77" i="8"/>
  <c r="L76" i="8"/>
  <c r="AG64" i="8"/>
  <c r="K64" i="8" s="1"/>
  <c r="AH64" i="8"/>
  <c r="AG65" i="8"/>
  <c r="K65" i="8" s="1"/>
  <c r="AH65" i="8"/>
  <c r="AG66" i="8"/>
  <c r="K66" i="8" s="1"/>
  <c r="AH66" i="8"/>
  <c r="AG67" i="8"/>
  <c r="K67" i="8" s="1"/>
  <c r="AH67" i="8"/>
  <c r="AG68" i="8"/>
  <c r="K68" i="8" s="1"/>
  <c r="AH68" i="8"/>
  <c r="AG69" i="8"/>
  <c r="K69" i="8" s="1"/>
  <c r="AH69" i="8"/>
  <c r="AG70" i="8"/>
  <c r="K70" i="8" s="1"/>
  <c r="AH70" i="8"/>
  <c r="AG71" i="8"/>
  <c r="K71" i="8" s="1"/>
  <c r="AH71" i="8"/>
  <c r="AG72" i="8"/>
  <c r="K72" i="8" s="1"/>
  <c r="AH72" i="8"/>
  <c r="AG73" i="8"/>
  <c r="K73" i="8" s="1"/>
  <c r="AH73" i="8"/>
  <c r="AG74" i="8"/>
  <c r="K74" i="8" s="1"/>
  <c r="AH74" i="8"/>
  <c r="AG75" i="8"/>
  <c r="K75" i="8" s="1"/>
  <c r="AH75" i="8"/>
  <c r="AG76" i="8"/>
  <c r="AH76" i="8"/>
  <c r="AG77" i="8"/>
  <c r="AH77" i="8"/>
  <c r="Y65" i="8"/>
  <c r="Y66" i="8"/>
  <c r="Y67" i="8"/>
  <c r="Y68" i="8"/>
  <c r="Y69" i="8"/>
  <c r="Y70" i="8"/>
  <c r="Y71" i="8"/>
  <c r="Y72" i="8"/>
  <c r="Y73" i="8"/>
  <c r="Y74" i="8"/>
  <c r="Y75" i="8"/>
  <c r="Y76" i="8"/>
  <c r="Y77" i="8"/>
  <c r="Y64" i="8"/>
  <c r="L67" i="8"/>
  <c r="L68" i="8"/>
  <c r="L69" i="8"/>
  <c r="L70" i="8"/>
  <c r="L71" i="8"/>
  <c r="L72" i="8"/>
  <c r="L73" i="8"/>
  <c r="L74" i="8"/>
  <c r="L75" i="8"/>
  <c r="L64" i="8"/>
  <c r="L65" i="8"/>
  <c r="L66" i="8"/>
  <c r="AG54" i="8"/>
  <c r="K54" i="8" s="1"/>
  <c r="AH54" i="8"/>
  <c r="AG55" i="8"/>
  <c r="K55" i="8" s="1"/>
  <c r="AH55" i="8"/>
  <c r="AG56" i="8"/>
  <c r="K56" i="8" s="1"/>
  <c r="AH56" i="8"/>
  <c r="AG57" i="8"/>
  <c r="K57" i="8" s="1"/>
  <c r="AH57" i="8"/>
  <c r="AG58" i="8"/>
  <c r="K58" i="8" s="1"/>
  <c r="AH58" i="8"/>
  <c r="AG59" i="8"/>
  <c r="K59" i="8" s="1"/>
  <c r="AH59" i="8"/>
  <c r="AG60" i="8"/>
  <c r="K60" i="8" s="1"/>
  <c r="AH60" i="8"/>
  <c r="AG61" i="8"/>
  <c r="K61" i="8" s="1"/>
  <c r="AH61" i="8"/>
  <c r="AG62" i="8"/>
  <c r="AH62" i="8"/>
  <c r="AG63" i="8"/>
  <c r="AH63" i="8"/>
  <c r="Y55" i="8"/>
  <c r="Y56" i="8"/>
  <c r="Y57" i="8"/>
  <c r="Y58" i="8"/>
  <c r="Y59" i="8"/>
  <c r="Y60" i="8"/>
  <c r="Y61" i="8"/>
  <c r="Y62" i="8"/>
  <c r="Y63" i="8"/>
  <c r="Y54" i="8"/>
  <c r="L59" i="8"/>
  <c r="L60" i="8"/>
  <c r="L61" i="8"/>
  <c r="L54" i="8"/>
  <c r="L55" i="8"/>
  <c r="L56" i="8"/>
  <c r="L57" i="8"/>
  <c r="L58" i="8"/>
  <c r="Y44" i="8"/>
  <c r="Y45" i="8"/>
  <c r="Y46" i="8"/>
  <c r="Y47" i="8"/>
  <c r="Y48" i="8"/>
  <c r="Y49" i="8"/>
  <c r="Y50" i="8"/>
  <c r="Y51" i="8"/>
  <c r="Y52" i="8"/>
  <c r="Y53" i="8"/>
  <c r="Y43" i="8"/>
  <c r="G84" i="8" l="1"/>
  <c r="D43" i="8"/>
  <c r="D60" i="8"/>
  <c r="D66" i="8"/>
  <c r="V5" i="9"/>
  <c r="D5" i="9"/>
  <c r="G8" i="9"/>
  <c r="J8" i="9" s="1"/>
  <c r="D8" i="9"/>
  <c r="V16" i="9"/>
  <c r="D16" i="9"/>
  <c r="V40" i="9"/>
  <c r="D40" i="9"/>
  <c r="D73" i="8"/>
  <c r="D65" i="8"/>
  <c r="D48" i="8"/>
  <c r="D62" i="8"/>
  <c r="D76" i="8"/>
  <c r="D68" i="8"/>
  <c r="D86" i="8"/>
  <c r="G3" i="9"/>
  <c r="N3" i="9" s="1"/>
  <c r="D3" i="9"/>
  <c r="V6" i="9"/>
  <c r="D6" i="9"/>
  <c r="G22" i="9"/>
  <c r="S22" i="9" s="1"/>
  <c r="D22" i="9"/>
  <c r="G30" i="9"/>
  <c r="U30" i="9" s="1"/>
  <c r="D30" i="9"/>
  <c r="V38" i="9"/>
  <c r="D38" i="9"/>
  <c r="V46" i="9"/>
  <c r="D46" i="9"/>
  <c r="V54" i="9"/>
  <c r="D54" i="9"/>
  <c r="V62" i="9"/>
  <c r="D62" i="9"/>
  <c r="V70" i="9"/>
  <c r="D70" i="9"/>
  <c r="D47" i="8"/>
  <c r="D61" i="8"/>
  <c r="D75" i="8"/>
  <c r="D67" i="8"/>
  <c r="D85" i="8"/>
  <c r="V11" i="9"/>
  <c r="D11" i="9"/>
  <c r="G51" i="9"/>
  <c r="Q51" i="9" s="1"/>
  <c r="D51" i="9"/>
  <c r="V67" i="9"/>
  <c r="D67" i="9"/>
  <c r="G64" i="9"/>
  <c r="U64" i="9" s="1"/>
  <c r="D64" i="9"/>
  <c r="D53" i="8"/>
  <c r="D45" i="8"/>
  <c r="D59" i="8"/>
  <c r="G29" i="9"/>
  <c r="U29" i="9" s="1"/>
  <c r="D29" i="9"/>
  <c r="V53" i="9"/>
  <c r="D53" i="9"/>
  <c r="D78" i="8"/>
  <c r="G42" i="9"/>
  <c r="D42" i="9"/>
  <c r="V66" i="9"/>
  <c r="D66" i="9"/>
  <c r="D51" i="8"/>
  <c r="D57" i="8"/>
  <c r="D71" i="8"/>
  <c r="D89" i="8"/>
  <c r="D81" i="8"/>
  <c r="G4" i="9"/>
  <c r="D4" i="9"/>
  <c r="V7" i="9"/>
  <c r="D7" i="9"/>
  <c r="V15" i="9"/>
  <c r="D15" i="9"/>
  <c r="V23" i="9"/>
  <c r="D23" i="9"/>
  <c r="G39" i="9"/>
  <c r="R39" i="9" s="1"/>
  <c r="D39" i="9"/>
  <c r="G47" i="9"/>
  <c r="U47" i="9" s="1"/>
  <c r="D47" i="9"/>
  <c r="V63" i="9"/>
  <c r="D63" i="9"/>
  <c r="G71" i="9"/>
  <c r="J71" i="9" s="1"/>
  <c r="D71" i="9"/>
  <c r="D46" i="8"/>
  <c r="D84" i="8"/>
  <c r="V24" i="9"/>
  <c r="D24" i="9"/>
  <c r="G48" i="9"/>
  <c r="J48" i="9" s="1"/>
  <c r="D48" i="9"/>
  <c r="V56" i="9"/>
  <c r="D56" i="9"/>
  <c r="V72" i="9"/>
  <c r="D72" i="9"/>
  <c r="D83" i="8"/>
  <c r="P2" i="9"/>
  <c r="D2" i="9"/>
  <c r="V21" i="9"/>
  <c r="D21" i="9"/>
  <c r="G61" i="9"/>
  <c r="O61" i="9" s="1"/>
  <c r="D61" i="9"/>
  <c r="D52" i="8"/>
  <c r="D58" i="8"/>
  <c r="D72" i="8"/>
  <c r="D82" i="8"/>
  <c r="V34" i="9"/>
  <c r="D34" i="9"/>
  <c r="V58" i="9"/>
  <c r="D58" i="9"/>
  <c r="D50" i="8"/>
  <c r="D54" i="8"/>
  <c r="D56" i="8"/>
  <c r="G65" i="8"/>
  <c r="M65" i="8" s="1"/>
  <c r="D64" i="8"/>
  <c r="D70" i="8"/>
  <c r="D88" i="8"/>
  <c r="D80" i="8"/>
  <c r="G12" i="9"/>
  <c r="D12" i="9"/>
  <c r="G28" i="9"/>
  <c r="M28" i="9" s="1"/>
  <c r="D28" i="9"/>
  <c r="G36" i="9"/>
  <c r="O36" i="9" s="1"/>
  <c r="D36" i="9"/>
  <c r="G44" i="9"/>
  <c r="S44" i="9" s="1"/>
  <c r="D44" i="9"/>
  <c r="G52" i="9"/>
  <c r="O52" i="9" s="1"/>
  <c r="D52" i="9"/>
  <c r="V60" i="9"/>
  <c r="D60" i="9"/>
  <c r="D74" i="8"/>
  <c r="G32" i="9"/>
  <c r="H32" i="9" s="1"/>
  <c r="D32" i="9"/>
  <c r="V13" i="9"/>
  <c r="D13" i="9"/>
  <c r="G37" i="9"/>
  <c r="O37" i="9" s="1"/>
  <c r="D37" i="9"/>
  <c r="D44" i="8"/>
  <c r="V10" i="9"/>
  <c r="D10" i="9"/>
  <c r="V26" i="9"/>
  <c r="D26" i="9"/>
  <c r="G50" i="9"/>
  <c r="U50" i="9" s="1"/>
  <c r="D50" i="9"/>
  <c r="D49" i="8"/>
  <c r="D63" i="8"/>
  <c r="D55" i="8"/>
  <c r="D77" i="8"/>
  <c r="D69" i="8"/>
  <c r="D87" i="8"/>
  <c r="D79" i="8"/>
  <c r="V9" i="9"/>
  <c r="D9" i="9"/>
  <c r="V17" i="9"/>
  <c r="D17" i="9"/>
  <c r="V33" i="9"/>
  <c r="D33" i="9"/>
  <c r="G41" i="9"/>
  <c r="S41" i="9" s="1"/>
  <c r="D41" i="9"/>
  <c r="G49" i="9"/>
  <c r="U49" i="9" s="1"/>
  <c r="D49" i="9"/>
  <c r="G65" i="9"/>
  <c r="O65" i="9" s="1"/>
  <c r="D65" i="9"/>
  <c r="V73" i="9"/>
  <c r="D73" i="9"/>
  <c r="G75" i="8"/>
  <c r="I75" i="8" s="1"/>
  <c r="G82" i="8"/>
  <c r="N82" i="8" s="1"/>
  <c r="G81" i="8"/>
  <c r="M81" i="8" s="1"/>
  <c r="G80" i="8"/>
  <c r="O80" i="8" s="1"/>
  <c r="G61" i="8"/>
  <c r="G74" i="8"/>
  <c r="R74" i="8" s="1"/>
  <c r="G60" i="8"/>
  <c r="P60" i="8" s="1"/>
  <c r="G66" i="8"/>
  <c r="Q66" i="8" s="1"/>
  <c r="G86" i="8"/>
  <c r="O86" i="8" s="1"/>
  <c r="G59" i="8"/>
  <c r="S59" i="8" s="1"/>
  <c r="G64" i="8"/>
  <c r="N64" i="8" s="1"/>
  <c r="G87" i="8"/>
  <c r="N87" i="8" s="1"/>
  <c r="G85" i="8"/>
  <c r="R85" i="8" s="1"/>
  <c r="G54" i="8"/>
  <c r="Q54" i="8" s="1"/>
  <c r="G78" i="8"/>
  <c r="R78" i="8" s="1"/>
  <c r="G58" i="8"/>
  <c r="I58" i="8" s="1"/>
  <c r="G69" i="8"/>
  <c r="O69" i="8" s="1"/>
  <c r="G56" i="8"/>
  <c r="Q56" i="8" s="1"/>
  <c r="G55" i="8"/>
  <c r="N55" i="8" s="1"/>
  <c r="G72" i="8"/>
  <c r="S72" i="8" s="1"/>
  <c r="G79" i="8"/>
  <c r="Q79" i="8" s="1"/>
  <c r="G83" i="8"/>
  <c r="O83" i="8" s="1"/>
  <c r="V22" i="9"/>
  <c r="G21" i="9"/>
  <c r="R21" i="9" s="1"/>
  <c r="V65" i="9"/>
  <c r="G62" i="9"/>
  <c r="P62" i="9" s="1"/>
  <c r="V39" i="9"/>
  <c r="V42" i="9"/>
  <c r="V4" i="9"/>
  <c r="V29" i="9"/>
  <c r="V32" i="9"/>
  <c r="V2" i="9"/>
  <c r="V64" i="9"/>
  <c r="V44" i="9"/>
  <c r="G53" i="9"/>
  <c r="U53" i="9" s="1"/>
  <c r="G46" i="9"/>
  <c r="P46" i="9" s="1"/>
  <c r="G26" i="9"/>
  <c r="U26" i="9" s="1"/>
  <c r="V37" i="9"/>
  <c r="G40" i="9"/>
  <c r="M40" i="9" s="1"/>
  <c r="V52" i="9"/>
  <c r="G60" i="9"/>
  <c r="J60" i="9" s="1"/>
  <c r="S4" i="9"/>
  <c r="V12" i="9"/>
  <c r="V28" i="9"/>
  <c r="G34" i="9"/>
  <c r="G24" i="9"/>
  <c r="O24" i="9" s="1"/>
  <c r="G33" i="9"/>
  <c r="H33" i="9" s="1"/>
  <c r="V48" i="9"/>
  <c r="V51" i="9"/>
  <c r="V41" i="9"/>
  <c r="G63" i="9"/>
  <c r="R63" i="9" s="1"/>
  <c r="G10" i="9"/>
  <c r="R10" i="9" s="1"/>
  <c r="G16" i="9"/>
  <c r="S16" i="9" s="1"/>
  <c r="V49" i="9"/>
  <c r="V50" i="9"/>
  <c r="V71" i="9"/>
  <c r="G58" i="9"/>
  <c r="N58" i="9" s="1"/>
  <c r="V3" i="9"/>
  <c r="V8" i="9"/>
  <c r="G11" i="9"/>
  <c r="R11" i="9" s="1"/>
  <c r="G56" i="9"/>
  <c r="N56" i="9" s="1"/>
  <c r="G72" i="9"/>
  <c r="J72" i="9" s="1"/>
  <c r="G15" i="9"/>
  <c r="M15" i="9" s="1"/>
  <c r="G66" i="9"/>
  <c r="U66" i="9" s="1"/>
  <c r="G38" i="9"/>
  <c r="M38" i="9" s="1"/>
  <c r="G54" i="9"/>
  <c r="U54" i="9" s="1"/>
  <c r="G67" i="9"/>
  <c r="Q67" i="9" s="1"/>
  <c r="G70" i="9"/>
  <c r="U70" i="9" s="1"/>
  <c r="G73" i="9"/>
  <c r="U73" i="9" s="1"/>
  <c r="V68" i="9"/>
  <c r="G68" i="9"/>
  <c r="V19" i="9"/>
  <c r="G19" i="9"/>
  <c r="S19" i="9" s="1"/>
  <c r="V36" i="9"/>
  <c r="AJ6" i="9"/>
  <c r="G5" i="9"/>
  <c r="S5" i="9" s="1"/>
  <c r="V30" i="9"/>
  <c r="V31" i="9"/>
  <c r="G31" i="9"/>
  <c r="G27" i="9"/>
  <c r="J27" i="9" s="1"/>
  <c r="V27" i="9"/>
  <c r="R30" i="9"/>
  <c r="G7" i="9"/>
  <c r="V18" i="9"/>
  <c r="G18" i="9"/>
  <c r="G6" i="9"/>
  <c r="V20" i="9"/>
  <c r="G20" i="9"/>
  <c r="G23" i="9"/>
  <c r="V47" i="9"/>
  <c r="G13" i="9"/>
  <c r="G59" i="9"/>
  <c r="V59" i="9"/>
  <c r="V14" i="9"/>
  <c r="G14" i="9"/>
  <c r="G17" i="9"/>
  <c r="V25" i="9"/>
  <c r="G25" i="9"/>
  <c r="G9" i="9"/>
  <c r="G35" i="9"/>
  <c r="V35" i="9"/>
  <c r="H42" i="9"/>
  <c r="V61" i="9"/>
  <c r="G55" i="9"/>
  <c r="V55" i="9"/>
  <c r="V69" i="9"/>
  <c r="G69" i="9"/>
  <c r="G43" i="9"/>
  <c r="V43" i="9"/>
  <c r="G45" i="9"/>
  <c r="V45" i="9"/>
  <c r="V57" i="9"/>
  <c r="G57" i="9"/>
  <c r="G89" i="8"/>
  <c r="O89" i="8" s="1"/>
  <c r="G88" i="8"/>
  <c r="K88" i="8"/>
  <c r="O84" i="8"/>
  <c r="P84" i="8"/>
  <c r="S84" i="8"/>
  <c r="R84" i="8"/>
  <c r="M84" i="8"/>
  <c r="N84" i="8"/>
  <c r="I84" i="8"/>
  <c r="Q84" i="8"/>
  <c r="K87" i="8"/>
  <c r="K79" i="8"/>
  <c r="G73" i="8"/>
  <c r="I73" i="8" s="1"/>
  <c r="G70" i="8"/>
  <c r="S70" i="8" s="1"/>
  <c r="G77" i="8"/>
  <c r="R77" i="8" s="1"/>
  <c r="G71" i="8"/>
  <c r="R71" i="8" s="1"/>
  <c r="G67" i="8"/>
  <c r="I67" i="8" s="1"/>
  <c r="G68" i="8"/>
  <c r="U68" i="8" s="1"/>
  <c r="K77" i="8"/>
  <c r="G76" i="8"/>
  <c r="K76" i="8"/>
  <c r="M66" i="8"/>
  <c r="L63" i="8"/>
  <c r="G63" i="8"/>
  <c r="K63" i="8"/>
  <c r="K62" i="8"/>
  <c r="L62" i="8"/>
  <c r="G62" i="8"/>
  <c r="O58" i="8"/>
  <c r="R58" i="8"/>
  <c r="N58" i="8"/>
  <c r="G57" i="8"/>
  <c r="L42" i="8"/>
  <c r="L41" i="8"/>
  <c r="Y34" i="8"/>
  <c r="Y35" i="8"/>
  <c r="Y36" i="8"/>
  <c r="Y37" i="8"/>
  <c r="Y38" i="8"/>
  <c r="Y39" i="8"/>
  <c r="Y40" i="8"/>
  <c r="Y41" i="8"/>
  <c r="Y42" i="8"/>
  <c r="Y33" i="8"/>
  <c r="AG33" i="8"/>
  <c r="K33" i="8" s="1"/>
  <c r="AH33" i="8"/>
  <c r="AG34" i="8"/>
  <c r="K34" i="8" s="1"/>
  <c r="AH34" i="8"/>
  <c r="AG35" i="8"/>
  <c r="K35" i="8" s="1"/>
  <c r="AH35" i="8"/>
  <c r="AG36" i="8"/>
  <c r="K36" i="8" s="1"/>
  <c r="AH36" i="8"/>
  <c r="AG37" i="8"/>
  <c r="K37" i="8" s="1"/>
  <c r="AH37" i="8"/>
  <c r="AG38" i="8"/>
  <c r="K38" i="8" s="1"/>
  <c r="AH38" i="8"/>
  <c r="AG39" i="8"/>
  <c r="K39" i="8" s="1"/>
  <c r="AH39" i="8"/>
  <c r="AG40" i="8"/>
  <c r="K40" i="8" s="1"/>
  <c r="AH40" i="8"/>
  <c r="AG41" i="8"/>
  <c r="AH41" i="8"/>
  <c r="AG42" i="8"/>
  <c r="AH42" i="8"/>
  <c r="AG43" i="8"/>
  <c r="K43" i="8" s="1"/>
  <c r="AH43" i="8"/>
  <c r="AG44" i="8"/>
  <c r="K44" i="8" s="1"/>
  <c r="AH44" i="8"/>
  <c r="AG45" i="8"/>
  <c r="K45" i="8" s="1"/>
  <c r="AH45" i="8"/>
  <c r="AG46" i="8"/>
  <c r="K46" i="8" s="1"/>
  <c r="AH46" i="8"/>
  <c r="AG47" i="8"/>
  <c r="K47" i="8" s="1"/>
  <c r="AH47" i="8"/>
  <c r="AG48" i="8"/>
  <c r="K48" i="8" s="1"/>
  <c r="AH48" i="8"/>
  <c r="AG49" i="8"/>
  <c r="K49" i="8" s="1"/>
  <c r="AH49" i="8"/>
  <c r="AG50" i="8"/>
  <c r="K50" i="8" s="1"/>
  <c r="AH50" i="8"/>
  <c r="AG51" i="8"/>
  <c r="K51" i="8" s="1"/>
  <c r="AH51" i="8"/>
  <c r="AG52" i="8"/>
  <c r="K52" i="8" s="1"/>
  <c r="AH52" i="8"/>
  <c r="AG53" i="8"/>
  <c r="K53" i="8" s="1"/>
  <c r="AH53" i="8"/>
  <c r="L33" i="8"/>
  <c r="L34" i="8"/>
  <c r="L35" i="8"/>
  <c r="L36" i="8"/>
  <c r="L37" i="8"/>
  <c r="L38" i="8"/>
  <c r="L39" i="8"/>
  <c r="L40" i="8"/>
  <c r="G43" i="8"/>
  <c r="S43" i="8" s="1"/>
  <c r="L43" i="8"/>
  <c r="G44" i="8"/>
  <c r="S44" i="8" s="1"/>
  <c r="L44" i="8"/>
  <c r="G45" i="8"/>
  <c r="S45" i="8" s="1"/>
  <c r="L45" i="8"/>
  <c r="G46" i="8"/>
  <c r="S46" i="8" s="1"/>
  <c r="L46" i="8"/>
  <c r="G47" i="8"/>
  <c r="S47" i="8" s="1"/>
  <c r="L47" i="8"/>
  <c r="G48" i="8"/>
  <c r="S48" i="8" s="1"/>
  <c r="L48" i="8"/>
  <c r="G49" i="8"/>
  <c r="S49" i="8" s="1"/>
  <c r="L49" i="8"/>
  <c r="G50" i="8"/>
  <c r="S50" i="8" s="1"/>
  <c r="L50" i="8"/>
  <c r="G51" i="8"/>
  <c r="S51" i="8" s="1"/>
  <c r="L51" i="8"/>
  <c r="G52" i="8"/>
  <c r="L52" i="8"/>
  <c r="G53" i="8"/>
  <c r="S53" i="8" s="1"/>
  <c r="L53" i="8"/>
  <c r="L32" i="8"/>
  <c r="L23" i="8"/>
  <c r="L24" i="8"/>
  <c r="L25" i="8"/>
  <c r="L26" i="8"/>
  <c r="L27" i="8"/>
  <c r="L28" i="8"/>
  <c r="L29" i="8"/>
  <c r="L30" i="8"/>
  <c r="AG23" i="8"/>
  <c r="K23" i="8" s="1"/>
  <c r="AH23" i="8"/>
  <c r="AG24" i="8"/>
  <c r="K24" i="8" s="1"/>
  <c r="AH24" i="8"/>
  <c r="AG25" i="8"/>
  <c r="K25" i="8" s="1"/>
  <c r="AH25" i="8"/>
  <c r="AG26" i="8"/>
  <c r="K26" i="8" s="1"/>
  <c r="AH26" i="8"/>
  <c r="AG27" i="8"/>
  <c r="K27" i="8" s="1"/>
  <c r="AH27" i="8"/>
  <c r="AG28" i="8"/>
  <c r="K28" i="8" s="1"/>
  <c r="AH28" i="8"/>
  <c r="AG29" i="8"/>
  <c r="K29" i="8" s="1"/>
  <c r="AH29" i="8"/>
  <c r="AG30" i="8"/>
  <c r="K30" i="8" s="1"/>
  <c r="AH30" i="8"/>
  <c r="AG31" i="8"/>
  <c r="AH31" i="8"/>
  <c r="AG32" i="8"/>
  <c r="AH32" i="8"/>
  <c r="Y27" i="8"/>
  <c r="Y23" i="8"/>
  <c r="Y24" i="8"/>
  <c r="Y25" i="8"/>
  <c r="Y26" i="8"/>
  <c r="Y28" i="8"/>
  <c r="Y29" i="8"/>
  <c r="Y30" i="8"/>
  <c r="Y31" i="8"/>
  <c r="Y32" i="8"/>
  <c r="AH22" i="8"/>
  <c r="AG13" i="8"/>
  <c r="K13" i="8" s="1"/>
  <c r="AH13" i="8"/>
  <c r="AG14" i="8"/>
  <c r="K14" i="8" s="1"/>
  <c r="AH14" i="8"/>
  <c r="AG15" i="8"/>
  <c r="K15" i="8" s="1"/>
  <c r="AH15" i="8"/>
  <c r="AG16" i="8"/>
  <c r="K16" i="8" s="1"/>
  <c r="AH16" i="8"/>
  <c r="AG17" i="8"/>
  <c r="K17" i="8" s="1"/>
  <c r="AH17" i="8"/>
  <c r="AG18" i="8"/>
  <c r="K18" i="8" s="1"/>
  <c r="AH18" i="8"/>
  <c r="AG19" i="8"/>
  <c r="K19" i="8" s="1"/>
  <c r="AH19" i="8"/>
  <c r="AG20" i="8"/>
  <c r="K20" i="8" s="1"/>
  <c r="AH20" i="8"/>
  <c r="AG21" i="8"/>
  <c r="AH21" i="8"/>
  <c r="AG22" i="8"/>
  <c r="Y22" i="8"/>
  <c r="Y14" i="8"/>
  <c r="Y15" i="8"/>
  <c r="Y16" i="8"/>
  <c r="Y17" i="8"/>
  <c r="Y18" i="8"/>
  <c r="Y19" i="8"/>
  <c r="Y20" i="8"/>
  <c r="Y21" i="8"/>
  <c r="Y13" i="8"/>
  <c r="L13" i="8"/>
  <c r="L14" i="8"/>
  <c r="L15" i="8"/>
  <c r="L16" i="8"/>
  <c r="L17" i="8"/>
  <c r="L18" i="8"/>
  <c r="L19" i="8"/>
  <c r="L20" i="8"/>
  <c r="L21" i="8"/>
  <c r="L12" i="8"/>
  <c r="L11" i="8"/>
  <c r="Y11" i="8"/>
  <c r="AG11" i="8"/>
  <c r="AH11" i="8"/>
  <c r="Y12" i="8"/>
  <c r="AG12" i="8"/>
  <c r="AH12" i="8"/>
  <c r="L9" i="8"/>
  <c r="Y9" i="8"/>
  <c r="AG9" i="8"/>
  <c r="K9" i="8" s="1"/>
  <c r="AH9" i="8"/>
  <c r="L10" i="8"/>
  <c r="Y10" i="8"/>
  <c r="AG10" i="8"/>
  <c r="K10" i="8" s="1"/>
  <c r="AH10" i="8"/>
  <c r="Y7" i="8"/>
  <c r="Y8" i="8"/>
  <c r="Y3" i="8"/>
  <c r="Y4" i="8"/>
  <c r="Y5" i="8"/>
  <c r="Y6" i="8"/>
  <c r="Y2" i="8"/>
  <c r="AL5" i="8"/>
  <c r="L8" i="8"/>
  <c r="AH7" i="8"/>
  <c r="AG7" i="8"/>
  <c r="K7" i="8" s="1"/>
  <c r="L7" i="8"/>
  <c r="L6" i="8"/>
  <c r="L5" i="8"/>
  <c r="AG4" i="8"/>
  <c r="K4" i="8" s="1"/>
  <c r="L4" i="8"/>
  <c r="L3" i="8"/>
  <c r="AG2" i="8"/>
  <c r="K2" i="8" s="1"/>
  <c r="N71" i="9" l="1"/>
  <c r="M50" i="9"/>
  <c r="J21" i="9"/>
  <c r="O48" i="9"/>
  <c r="R73" i="8"/>
  <c r="P22" i="9"/>
  <c r="N22" i="9"/>
  <c r="O22" i="9"/>
  <c r="P52" i="9"/>
  <c r="S12" i="9"/>
  <c r="I85" i="8"/>
  <c r="U72" i="8"/>
  <c r="S82" i="8"/>
  <c r="J51" i="9"/>
  <c r="H22" i="9"/>
  <c r="I52" i="9"/>
  <c r="H48" i="9"/>
  <c r="I22" i="9"/>
  <c r="Q22" i="9"/>
  <c r="H62" i="9"/>
  <c r="N8" i="9"/>
  <c r="M47" i="9"/>
  <c r="P12" i="9"/>
  <c r="S61" i="9"/>
  <c r="O62" i="9"/>
  <c r="U21" i="9"/>
  <c r="O47" i="9"/>
  <c r="Q75" i="8"/>
  <c r="P47" i="9"/>
  <c r="M56" i="8"/>
  <c r="P64" i="8"/>
  <c r="P82" i="8"/>
  <c r="M61" i="9"/>
  <c r="I37" i="9"/>
  <c r="J47" i="9"/>
  <c r="S64" i="8"/>
  <c r="O82" i="8"/>
  <c r="O64" i="8"/>
  <c r="Q3" i="9"/>
  <c r="I64" i="8"/>
  <c r="R82" i="8"/>
  <c r="H52" i="9"/>
  <c r="H41" i="9"/>
  <c r="R61" i="9"/>
  <c r="N49" i="9"/>
  <c r="I42" i="9"/>
  <c r="J72" i="8"/>
  <c r="H28" i="9"/>
  <c r="Q2" i="9"/>
  <c r="U75" i="8"/>
  <c r="O73" i="8"/>
  <c r="O41" i="9"/>
  <c r="J37" i="9"/>
  <c r="N47" i="9"/>
  <c r="H8" i="9"/>
  <c r="N2" i="9"/>
  <c r="I8" i="9"/>
  <c r="I3" i="9"/>
  <c r="J3" i="9"/>
  <c r="I28" i="9"/>
  <c r="U66" i="8"/>
  <c r="N75" i="8"/>
  <c r="U8" i="9"/>
  <c r="R47" i="9"/>
  <c r="N42" i="9"/>
  <c r="S42" i="9"/>
  <c r="S28" i="9"/>
  <c r="Q8" i="9"/>
  <c r="S8" i="9"/>
  <c r="O55" i="8"/>
  <c r="R75" i="8"/>
  <c r="P41" i="9"/>
  <c r="J66" i="8"/>
  <c r="J69" i="8"/>
  <c r="I80" i="8"/>
  <c r="Q61" i="9"/>
  <c r="M8" i="9"/>
  <c r="M42" i="9"/>
  <c r="P42" i="9"/>
  <c r="J28" i="9"/>
  <c r="R8" i="9"/>
  <c r="R72" i="8"/>
  <c r="P8" i="9"/>
  <c r="O3" i="9"/>
  <c r="M58" i="8"/>
  <c r="R66" i="8"/>
  <c r="N81" i="8"/>
  <c r="J61" i="9"/>
  <c r="H47" i="9"/>
  <c r="J42" i="9"/>
  <c r="Q42" i="9"/>
  <c r="O28" i="9"/>
  <c r="O8" i="9"/>
  <c r="Q32" i="9"/>
  <c r="O74" i="8"/>
  <c r="Q65" i="9"/>
  <c r="I61" i="9"/>
  <c r="S47" i="9"/>
  <c r="S3" i="9"/>
  <c r="M64" i="9"/>
  <c r="R42" i="9"/>
  <c r="M44" i="9"/>
  <c r="N60" i="8"/>
  <c r="I74" i="8"/>
  <c r="N64" i="9"/>
  <c r="U65" i="9"/>
  <c r="U61" i="9"/>
  <c r="Q47" i="9"/>
  <c r="P3" i="9"/>
  <c r="O64" i="9"/>
  <c r="O42" i="9"/>
  <c r="H64" i="9"/>
  <c r="J74" i="8"/>
  <c r="H65" i="9"/>
  <c r="R65" i="9"/>
  <c r="N61" i="9"/>
  <c r="I47" i="9"/>
  <c r="P29" i="9"/>
  <c r="U42" i="9"/>
  <c r="J73" i="8"/>
  <c r="R87" i="8"/>
  <c r="S65" i="9"/>
  <c r="P61" i="9"/>
  <c r="H61" i="9"/>
  <c r="N44" i="9"/>
  <c r="Q74" i="8"/>
  <c r="P32" i="9"/>
  <c r="P44" i="9"/>
  <c r="U64" i="8"/>
  <c r="S74" i="8"/>
  <c r="N74" i="8"/>
  <c r="J64" i="8"/>
  <c r="I65" i="9"/>
  <c r="Q49" i="9"/>
  <c r="P64" i="9"/>
  <c r="P36" i="9"/>
  <c r="U44" i="9"/>
  <c r="R32" i="9"/>
  <c r="M65" i="9"/>
  <c r="S64" i="9"/>
  <c r="P28" i="9"/>
  <c r="O44" i="9"/>
  <c r="I32" i="9"/>
  <c r="O32" i="9"/>
  <c r="M74" i="8"/>
  <c r="I64" i="9"/>
  <c r="R64" i="9"/>
  <c r="Q64" i="8"/>
  <c r="U74" i="8"/>
  <c r="R81" i="8"/>
  <c r="N65" i="9"/>
  <c r="Q37" i="9"/>
  <c r="H36" i="9"/>
  <c r="M29" i="9"/>
  <c r="P49" i="9"/>
  <c r="J50" i="9"/>
  <c r="R44" i="9"/>
  <c r="Q64" i="9"/>
  <c r="I29" i="9"/>
  <c r="I44" i="9"/>
  <c r="R64" i="8"/>
  <c r="M85" i="8"/>
  <c r="O81" i="8"/>
  <c r="H50" i="9"/>
  <c r="P65" i="9"/>
  <c r="N37" i="9"/>
  <c r="R29" i="9"/>
  <c r="M49" i="9"/>
  <c r="J64" i="9"/>
  <c r="U28" i="9"/>
  <c r="O50" i="9"/>
  <c r="J44" i="9"/>
  <c r="Q28" i="9"/>
  <c r="O60" i="8"/>
  <c r="H44" i="9"/>
  <c r="P74" i="8"/>
  <c r="S60" i="8"/>
  <c r="S71" i="8"/>
  <c r="M64" i="8"/>
  <c r="Q85" i="8"/>
  <c r="S81" i="8"/>
  <c r="J65" i="9"/>
  <c r="P37" i="9"/>
  <c r="N29" i="9"/>
  <c r="S49" i="9"/>
  <c r="R28" i="9"/>
  <c r="J29" i="9"/>
  <c r="Q44" i="9"/>
  <c r="J32" i="9"/>
  <c r="N28" i="9"/>
  <c r="M32" i="9"/>
  <c r="S79" i="8"/>
  <c r="P51" i="9"/>
  <c r="N51" i="9"/>
  <c r="S52" i="9"/>
  <c r="O59" i="8"/>
  <c r="O87" i="8"/>
  <c r="I79" i="8"/>
  <c r="Q82" i="8"/>
  <c r="H51" i="9"/>
  <c r="J49" i="9"/>
  <c r="N36" i="9"/>
  <c r="N12" i="9"/>
  <c r="Q52" i="9"/>
  <c r="Q83" i="8"/>
  <c r="Q4" i="9"/>
  <c r="H83" i="8"/>
  <c r="P61" i="8"/>
  <c r="M12" i="9"/>
  <c r="P78" i="8"/>
  <c r="N79" i="8"/>
  <c r="M82" i="8"/>
  <c r="O49" i="9"/>
  <c r="R49" i="9"/>
  <c r="I67" i="9"/>
  <c r="I12" i="9"/>
  <c r="N48" i="9"/>
  <c r="H49" i="9"/>
  <c r="J52" i="9"/>
  <c r="I83" i="8"/>
  <c r="H39" i="9"/>
  <c r="I51" i="9"/>
  <c r="H12" i="9"/>
  <c r="S61" i="8"/>
  <c r="R60" i="8"/>
  <c r="P72" i="8"/>
  <c r="I65" i="8"/>
  <c r="P87" i="8"/>
  <c r="R79" i="8"/>
  <c r="R86" i="8"/>
  <c r="N39" i="9"/>
  <c r="U51" i="9"/>
  <c r="M39" i="9"/>
  <c r="I49" i="9"/>
  <c r="U39" i="9"/>
  <c r="M52" i="9"/>
  <c r="R12" i="9"/>
  <c r="I60" i="9"/>
  <c r="Q36" i="9"/>
  <c r="M4" i="9"/>
  <c r="I4" i="9"/>
  <c r="J2" i="9"/>
  <c r="O51" i="9"/>
  <c r="J12" i="9"/>
  <c r="R51" i="9"/>
  <c r="S51" i="9"/>
  <c r="U52" i="9"/>
  <c r="O61" i="8"/>
  <c r="M87" i="8"/>
  <c r="O79" i="8"/>
  <c r="I82" i="8"/>
  <c r="S39" i="9"/>
  <c r="M51" i="9"/>
  <c r="U12" i="9"/>
  <c r="N52" i="9"/>
  <c r="O12" i="9"/>
  <c r="R52" i="9"/>
  <c r="D7" i="8"/>
  <c r="D16" i="8"/>
  <c r="D26" i="8"/>
  <c r="D3" i="8"/>
  <c r="D11" i="8"/>
  <c r="D18" i="8"/>
  <c r="D29" i="8"/>
  <c r="D40" i="8"/>
  <c r="R61" i="8"/>
  <c r="N59" i="8"/>
  <c r="I55" i="8"/>
  <c r="U65" i="8"/>
  <c r="O75" i="8"/>
  <c r="M78" i="8"/>
  <c r="Q71" i="9"/>
  <c r="R71" i="9"/>
  <c r="P30" i="9"/>
  <c r="R2" i="9"/>
  <c r="S48" i="9"/>
  <c r="O46" i="9"/>
  <c r="I50" i="9"/>
  <c r="J36" i="9"/>
  <c r="Q26" i="9"/>
  <c r="P48" i="9"/>
  <c r="D8" i="8"/>
  <c r="D9" i="8"/>
  <c r="D17" i="8"/>
  <c r="D28" i="8"/>
  <c r="D39" i="8"/>
  <c r="S58" i="8"/>
  <c r="M61" i="8"/>
  <c r="I59" i="8"/>
  <c r="I56" i="8"/>
  <c r="N65" i="8"/>
  <c r="Q72" i="8"/>
  <c r="M75" i="8"/>
  <c r="P65" i="8"/>
  <c r="J75" i="8"/>
  <c r="I78" i="8"/>
  <c r="P39" i="9"/>
  <c r="M41" i="9"/>
  <c r="P21" i="9"/>
  <c r="S71" i="9"/>
  <c r="I53" i="9"/>
  <c r="S29" i="9"/>
  <c r="U22" i="9"/>
  <c r="R3" i="9"/>
  <c r="N32" i="9"/>
  <c r="Q30" i="9"/>
  <c r="M22" i="9"/>
  <c r="Q41" i="9"/>
  <c r="I21" i="9"/>
  <c r="N50" i="9"/>
  <c r="Q12" i="9"/>
  <c r="S50" i="9"/>
  <c r="S36" i="9"/>
  <c r="R4" i="9"/>
  <c r="Q48" i="9"/>
  <c r="O4" i="9"/>
  <c r="M2" i="9"/>
  <c r="O30" i="9"/>
  <c r="D13" i="8"/>
  <c r="D14" i="8"/>
  <c r="D24" i="8"/>
  <c r="D36" i="8"/>
  <c r="I71" i="9"/>
  <c r="H30" i="9"/>
  <c r="O71" i="9"/>
  <c r="N21" i="9"/>
  <c r="S2" i="9"/>
  <c r="D6" i="8"/>
  <c r="D10" i="8"/>
  <c r="D12" i="8"/>
  <c r="D21" i="8"/>
  <c r="D22" i="8"/>
  <c r="D32" i="8"/>
  <c r="D23" i="8"/>
  <c r="D33" i="8"/>
  <c r="D35" i="8"/>
  <c r="P58" i="8"/>
  <c r="Q61" i="8"/>
  <c r="M59" i="8"/>
  <c r="Q60" i="8"/>
  <c r="M60" i="8"/>
  <c r="S55" i="8"/>
  <c r="R65" i="8"/>
  <c r="M72" i="8"/>
  <c r="N72" i="8"/>
  <c r="S78" i="8"/>
  <c r="Q39" i="9"/>
  <c r="J41" i="9"/>
  <c r="U71" i="9"/>
  <c r="M21" i="9"/>
  <c r="O29" i="9"/>
  <c r="M3" i="9"/>
  <c r="U32" i="9"/>
  <c r="U36" i="9"/>
  <c r="M36" i="9"/>
  <c r="H4" i="9"/>
  <c r="I48" i="9"/>
  <c r="N41" i="9"/>
  <c r="R36" i="9"/>
  <c r="J4" i="9"/>
  <c r="P4" i="9"/>
  <c r="D38" i="8"/>
  <c r="R55" i="8"/>
  <c r="M48" i="9"/>
  <c r="J30" i="9"/>
  <c r="N30" i="9"/>
  <c r="Q59" i="8"/>
  <c r="P55" i="8"/>
  <c r="J65" i="8"/>
  <c r="P75" i="8"/>
  <c r="I36" i="9"/>
  <c r="H2" i="9"/>
  <c r="D31" i="8"/>
  <c r="D27" i="8"/>
  <c r="D42" i="8"/>
  <c r="D34" i="8"/>
  <c r="Q58" i="8"/>
  <c r="I61" i="8"/>
  <c r="P59" i="8"/>
  <c r="I60" i="8"/>
  <c r="I54" i="8"/>
  <c r="M55" i="8"/>
  <c r="S65" i="8"/>
  <c r="Q65" i="8"/>
  <c r="S75" i="8"/>
  <c r="Q78" i="8"/>
  <c r="J39" i="9"/>
  <c r="H71" i="9"/>
  <c r="R41" i="9"/>
  <c r="M71" i="9"/>
  <c r="M37" i="9"/>
  <c r="H29" i="9"/>
  <c r="J22" i="9"/>
  <c r="U3" i="9"/>
  <c r="I30" i="9"/>
  <c r="S21" i="9"/>
  <c r="R48" i="9"/>
  <c r="U41" i="9"/>
  <c r="Q50" i="9"/>
  <c r="P50" i="9"/>
  <c r="S32" i="9"/>
  <c r="I2" i="9"/>
  <c r="O39" i="9"/>
  <c r="I39" i="9"/>
  <c r="R37" i="9"/>
  <c r="D15" i="8"/>
  <c r="D25" i="8"/>
  <c r="D37" i="8"/>
  <c r="O78" i="8"/>
  <c r="P71" i="9"/>
  <c r="O2" i="9"/>
  <c r="D2" i="8"/>
  <c r="N61" i="8"/>
  <c r="R59" i="8"/>
  <c r="O65" i="8"/>
  <c r="U16" i="9"/>
  <c r="U48" i="9"/>
  <c r="I41" i="9"/>
  <c r="D5" i="8"/>
  <c r="D20" i="8"/>
  <c r="D4" i="8"/>
  <c r="D19" i="8"/>
  <c r="D30" i="8"/>
  <c r="G36" i="8"/>
  <c r="S36" i="8" s="1"/>
  <c r="D41" i="8"/>
  <c r="Q55" i="8"/>
  <c r="M67" i="8"/>
  <c r="N78" i="8"/>
  <c r="U37" i="9"/>
  <c r="S37" i="9"/>
  <c r="Q29" i="9"/>
  <c r="R22" i="9"/>
  <c r="H3" i="9"/>
  <c r="N4" i="9"/>
  <c r="S30" i="9"/>
  <c r="H21" i="9"/>
  <c r="H37" i="9"/>
  <c r="Q21" i="9"/>
  <c r="R50" i="9"/>
  <c r="O21" i="9"/>
  <c r="U4" i="9"/>
  <c r="M30" i="9"/>
  <c r="G9" i="8"/>
  <c r="N9" i="8" s="1"/>
  <c r="O76" i="8"/>
  <c r="W68" i="8"/>
  <c r="W77" i="8"/>
  <c r="W65" i="8"/>
  <c r="W66" i="8"/>
  <c r="W69" i="8"/>
  <c r="W64" i="8"/>
  <c r="W73" i="8"/>
  <c r="W70" i="8"/>
  <c r="W74" i="8"/>
  <c r="W67" i="8"/>
  <c r="W71" i="8"/>
  <c r="W75" i="8"/>
  <c r="W72" i="8"/>
  <c r="W76" i="8"/>
  <c r="G28" i="8"/>
  <c r="S28" i="8" s="1"/>
  <c r="G26" i="8"/>
  <c r="H26" i="8" s="1"/>
  <c r="R54" i="8"/>
  <c r="G20" i="8"/>
  <c r="I20" i="8" s="1"/>
  <c r="Q73" i="8"/>
  <c r="Q69" i="8"/>
  <c r="P80" i="8"/>
  <c r="M86" i="8"/>
  <c r="N83" i="8"/>
  <c r="G6" i="8"/>
  <c r="Q6" i="8" s="1"/>
  <c r="M54" i="8"/>
  <c r="P56" i="8"/>
  <c r="N69" i="8"/>
  <c r="N77" i="8"/>
  <c r="O66" i="8"/>
  <c r="I69" i="8"/>
  <c r="Q87" i="8"/>
  <c r="S85" i="8"/>
  <c r="P79" i="8"/>
  <c r="M80" i="8"/>
  <c r="N86" i="8"/>
  <c r="P81" i="8"/>
  <c r="M83" i="8"/>
  <c r="I72" i="8"/>
  <c r="O72" i="8"/>
  <c r="N70" i="8"/>
  <c r="Q86" i="8"/>
  <c r="R56" i="8"/>
  <c r="S66" i="8"/>
  <c r="N85" i="8"/>
  <c r="I86" i="8"/>
  <c r="G5" i="8"/>
  <c r="S5" i="8" s="1"/>
  <c r="G33" i="8"/>
  <c r="S33" i="8" s="1"/>
  <c r="G35" i="8"/>
  <c r="S35" i="8" s="1"/>
  <c r="P54" i="8"/>
  <c r="N56" i="8"/>
  <c r="R69" i="8"/>
  <c r="I87" i="8"/>
  <c r="P85" i="8"/>
  <c r="M79" i="8"/>
  <c r="R80" i="8"/>
  <c r="S86" i="8"/>
  <c r="Q81" i="8"/>
  <c r="P83" i="8"/>
  <c r="G8" i="8"/>
  <c r="S8" i="8" s="1"/>
  <c r="O54" i="8"/>
  <c r="G38" i="8"/>
  <c r="S38" i="8" s="1"/>
  <c r="O56" i="8"/>
  <c r="Q80" i="8"/>
  <c r="N66" i="8"/>
  <c r="G34" i="8"/>
  <c r="S34" i="8" s="1"/>
  <c r="N54" i="8"/>
  <c r="S54" i="8"/>
  <c r="S56" i="8"/>
  <c r="I66" i="8"/>
  <c r="M69" i="8"/>
  <c r="P69" i="8"/>
  <c r="O85" i="8"/>
  <c r="N80" i="8"/>
  <c r="P86" i="8"/>
  <c r="I81" i="8"/>
  <c r="S83" i="8"/>
  <c r="R83" i="8"/>
  <c r="Q88" i="8"/>
  <c r="W79" i="8"/>
  <c r="W87" i="8"/>
  <c r="W86" i="8"/>
  <c r="W80" i="8"/>
  <c r="W88" i="8"/>
  <c r="W85" i="8"/>
  <c r="W81" i="8"/>
  <c r="W89" i="8"/>
  <c r="W82" i="8"/>
  <c r="W78" i="8"/>
  <c r="W83" i="8"/>
  <c r="W84" i="8"/>
  <c r="G7" i="8"/>
  <c r="U7" i="8" s="1"/>
  <c r="S62" i="8"/>
  <c r="W61" i="8"/>
  <c r="W62" i="8"/>
  <c r="W60" i="8"/>
  <c r="W55" i="8"/>
  <c r="W63" i="8"/>
  <c r="W58" i="8"/>
  <c r="W56" i="8"/>
  <c r="W54" i="8"/>
  <c r="W57" i="8"/>
  <c r="W59" i="8"/>
  <c r="I70" i="8"/>
  <c r="S80" i="8"/>
  <c r="P66" i="8"/>
  <c r="G4" i="8"/>
  <c r="I4" i="8" s="1"/>
  <c r="G3" i="8"/>
  <c r="M3" i="8" s="1"/>
  <c r="S52" i="8"/>
  <c r="W47" i="8"/>
  <c r="W43" i="8"/>
  <c r="W46" i="8"/>
  <c r="W48" i="8"/>
  <c r="W45" i="8"/>
  <c r="W49" i="8"/>
  <c r="W50" i="8"/>
  <c r="W53" i="8"/>
  <c r="W51" i="8"/>
  <c r="W44" i="8"/>
  <c r="W52" i="8"/>
  <c r="U69" i="8"/>
  <c r="S69" i="8"/>
  <c r="S87" i="8"/>
  <c r="I71" i="8"/>
  <c r="N71" i="8"/>
  <c r="U67" i="8"/>
  <c r="M71" i="8"/>
  <c r="Q71" i="8"/>
  <c r="U71" i="8"/>
  <c r="Q62" i="9"/>
  <c r="U62" i="9"/>
  <c r="M62" i="9"/>
  <c r="R62" i="9"/>
  <c r="P70" i="9"/>
  <c r="N62" i="9"/>
  <c r="I62" i="9"/>
  <c r="J62" i="9"/>
  <c r="Q40" i="9"/>
  <c r="S62" i="9"/>
  <c r="M53" i="9"/>
  <c r="R26" i="9"/>
  <c r="J46" i="9"/>
  <c r="U60" i="9"/>
  <c r="Q60" i="9"/>
  <c r="H60" i="9"/>
  <c r="I63" i="9"/>
  <c r="M60" i="9"/>
  <c r="I54" i="9"/>
  <c r="M5" i="9"/>
  <c r="R60" i="9"/>
  <c r="P15" i="9"/>
  <c r="M63" i="9"/>
  <c r="O60" i="9"/>
  <c r="O72" i="9"/>
  <c r="U46" i="9"/>
  <c r="I40" i="9"/>
  <c r="H11" i="9"/>
  <c r="N40" i="9"/>
  <c r="P26" i="9"/>
  <c r="I26" i="9"/>
  <c r="J40" i="9"/>
  <c r="H40" i="9"/>
  <c r="S11" i="9"/>
  <c r="N46" i="9"/>
  <c r="N11" i="9"/>
  <c r="P40" i="9"/>
  <c r="S46" i="9"/>
  <c r="R40" i="9"/>
  <c r="U31" i="9"/>
  <c r="S40" i="9"/>
  <c r="J70" i="9"/>
  <c r="I46" i="9"/>
  <c r="U40" i="9"/>
  <c r="H46" i="9"/>
  <c r="M46" i="9"/>
  <c r="R46" i="9"/>
  <c r="O40" i="9"/>
  <c r="Q46" i="9"/>
  <c r="O53" i="9"/>
  <c r="J53" i="9"/>
  <c r="R53" i="9"/>
  <c r="J67" i="9"/>
  <c r="O31" i="9"/>
  <c r="N15" i="9"/>
  <c r="S26" i="9"/>
  <c r="S53" i="9"/>
  <c r="R67" i="9"/>
  <c r="N66" i="9"/>
  <c r="S67" i="9"/>
  <c r="P53" i="9"/>
  <c r="I66" i="9"/>
  <c r="J26" i="9"/>
  <c r="H53" i="9"/>
  <c r="N53" i="9"/>
  <c r="Q53" i="9"/>
  <c r="P24" i="9"/>
  <c r="H26" i="9"/>
  <c r="O15" i="9"/>
  <c r="U67" i="9"/>
  <c r="M26" i="9"/>
  <c r="U5" i="9"/>
  <c r="O16" i="9"/>
  <c r="R16" i="9"/>
  <c r="S73" i="9"/>
  <c r="M67" i="9"/>
  <c r="S33" i="9"/>
  <c r="N34" i="9"/>
  <c r="Q15" i="9"/>
  <c r="N60" i="9"/>
  <c r="H24" i="9"/>
  <c r="Q33" i="9"/>
  <c r="M34" i="9"/>
  <c r="S60" i="9"/>
  <c r="O5" i="9"/>
  <c r="N73" i="9"/>
  <c r="O73" i="9"/>
  <c r="O67" i="9"/>
  <c r="J5" i="9"/>
  <c r="U19" i="9"/>
  <c r="Q5" i="9"/>
  <c r="Q34" i="9"/>
  <c r="P60" i="9"/>
  <c r="J15" i="9"/>
  <c r="I16" i="9"/>
  <c r="M16" i="9"/>
  <c r="H15" i="9"/>
  <c r="N16" i="9"/>
  <c r="H5" i="9"/>
  <c r="H16" i="9"/>
  <c r="M24" i="9"/>
  <c r="S58" i="9"/>
  <c r="P67" i="9"/>
  <c r="H38" i="9"/>
  <c r="P5" i="9"/>
  <c r="S27" i="9"/>
  <c r="Q16" i="9"/>
  <c r="N67" i="9"/>
  <c r="I70" i="9"/>
  <c r="P16" i="9"/>
  <c r="O58" i="9"/>
  <c r="N26" i="9"/>
  <c r="P34" i="9"/>
  <c r="P10" i="9"/>
  <c r="N70" i="9"/>
  <c r="H34" i="9"/>
  <c r="H67" i="9"/>
  <c r="R5" i="9"/>
  <c r="J16" i="9"/>
  <c r="O26" i="9"/>
  <c r="U34" i="9"/>
  <c r="P27" i="9"/>
  <c r="J54" i="9"/>
  <c r="N24" i="9"/>
  <c r="H10" i="9"/>
  <c r="N38" i="9"/>
  <c r="J11" i="9"/>
  <c r="J63" i="9"/>
  <c r="R33" i="9"/>
  <c r="I11" i="9"/>
  <c r="N27" i="9"/>
  <c r="O10" i="9"/>
  <c r="I38" i="9"/>
  <c r="U24" i="9"/>
  <c r="P38" i="9"/>
  <c r="N33" i="9"/>
  <c r="O11" i="9"/>
  <c r="I34" i="9"/>
  <c r="S54" i="9"/>
  <c r="I33" i="9"/>
  <c r="U27" i="9"/>
  <c r="S72" i="9"/>
  <c r="J33" i="9"/>
  <c r="N72" i="9"/>
  <c r="U33" i="9"/>
  <c r="H72" i="9"/>
  <c r="Q11" i="9"/>
  <c r="Q27" i="9"/>
  <c r="U72" i="9"/>
  <c r="O38" i="9"/>
  <c r="P66" i="9"/>
  <c r="M54" i="9"/>
  <c r="U11" i="9"/>
  <c r="I10" i="9"/>
  <c r="M33" i="9"/>
  <c r="J24" i="9"/>
  <c r="S10" i="9"/>
  <c r="Q24" i="9"/>
  <c r="S24" i="9"/>
  <c r="M72" i="9"/>
  <c r="Q38" i="9"/>
  <c r="N10" i="9"/>
  <c r="O34" i="9"/>
  <c r="R34" i="9"/>
  <c r="S34" i="9"/>
  <c r="U10" i="9"/>
  <c r="M10" i="9"/>
  <c r="H54" i="9"/>
  <c r="P11" i="9"/>
  <c r="I27" i="9"/>
  <c r="H27" i="9"/>
  <c r="R19" i="9"/>
  <c r="U63" i="9"/>
  <c r="O33" i="9"/>
  <c r="R24" i="9"/>
  <c r="M27" i="9"/>
  <c r="R27" i="9"/>
  <c r="M11" i="9"/>
  <c r="J10" i="9"/>
  <c r="I24" i="9"/>
  <c r="I72" i="9"/>
  <c r="Q10" i="9"/>
  <c r="P33" i="9"/>
  <c r="O54" i="9"/>
  <c r="J34" i="9"/>
  <c r="M56" i="9"/>
  <c r="J73" i="9"/>
  <c r="N63" i="9"/>
  <c r="R73" i="9"/>
  <c r="P63" i="9"/>
  <c r="H56" i="9"/>
  <c r="O27" i="9"/>
  <c r="R31" i="9"/>
  <c r="I19" i="9"/>
  <c r="Q58" i="9"/>
  <c r="R54" i="9"/>
  <c r="O70" i="9"/>
  <c r="M58" i="9"/>
  <c r="U38" i="9"/>
  <c r="S38" i="9"/>
  <c r="R38" i="9"/>
  <c r="J38" i="9"/>
  <c r="U15" i="9"/>
  <c r="S15" i="9"/>
  <c r="R15" i="9"/>
  <c r="I15" i="9"/>
  <c r="S56" i="9"/>
  <c r="J56" i="9"/>
  <c r="Q56" i="9"/>
  <c r="P56" i="9"/>
  <c r="O19" i="9"/>
  <c r="Q31" i="9"/>
  <c r="O56" i="9"/>
  <c r="I73" i="9"/>
  <c r="J31" i="9"/>
  <c r="S31" i="9"/>
  <c r="J19" i="9"/>
  <c r="Q19" i="9"/>
  <c r="Q70" i="9"/>
  <c r="I56" i="9"/>
  <c r="S66" i="9"/>
  <c r="Q66" i="9"/>
  <c r="R66" i="9"/>
  <c r="H73" i="9"/>
  <c r="P73" i="9"/>
  <c r="H19" i="9"/>
  <c r="J66" i="9"/>
  <c r="J58" i="9"/>
  <c r="I58" i="9"/>
  <c r="H58" i="9"/>
  <c r="R58" i="9"/>
  <c r="H63" i="9"/>
  <c r="Q63" i="9"/>
  <c r="O63" i="9"/>
  <c r="M73" i="9"/>
  <c r="H66" i="9"/>
  <c r="Q73" i="9"/>
  <c r="S63" i="9"/>
  <c r="N31" i="9"/>
  <c r="N19" i="9"/>
  <c r="P58" i="9"/>
  <c r="M66" i="9"/>
  <c r="N54" i="9"/>
  <c r="Q54" i="9"/>
  <c r="P54" i="9"/>
  <c r="R72" i="9"/>
  <c r="P72" i="9"/>
  <c r="Q72" i="9"/>
  <c r="U56" i="9"/>
  <c r="H31" i="9"/>
  <c r="R70" i="9"/>
  <c r="S70" i="9"/>
  <c r="H70" i="9"/>
  <c r="R56" i="9"/>
  <c r="M70" i="9"/>
  <c r="O66" i="9"/>
  <c r="U58" i="9"/>
  <c r="O68" i="9"/>
  <c r="J68" i="9"/>
  <c r="S68" i="9"/>
  <c r="I68" i="9"/>
  <c r="R68" i="9"/>
  <c r="Q68" i="9"/>
  <c r="U68" i="9"/>
  <c r="P68" i="9"/>
  <c r="M68" i="9"/>
  <c r="M31" i="9"/>
  <c r="P31" i="9"/>
  <c r="M19" i="9"/>
  <c r="P19" i="9"/>
  <c r="N68" i="9"/>
  <c r="I31" i="9"/>
  <c r="I5" i="9"/>
  <c r="N5" i="9"/>
  <c r="H68" i="9"/>
  <c r="S35" i="9"/>
  <c r="R35" i="9"/>
  <c r="I35" i="9"/>
  <c r="P35" i="9"/>
  <c r="M35" i="9"/>
  <c r="J35" i="9"/>
  <c r="N35" i="9"/>
  <c r="H35" i="9"/>
  <c r="U35" i="9"/>
  <c r="O35" i="9"/>
  <c r="Q35" i="9"/>
  <c r="P9" i="9"/>
  <c r="H9" i="9"/>
  <c r="N9" i="9"/>
  <c r="S9" i="9"/>
  <c r="Q9" i="9"/>
  <c r="I9" i="9"/>
  <c r="J9" i="9"/>
  <c r="R9" i="9"/>
  <c r="U9" i="9"/>
  <c r="O9" i="9"/>
  <c r="M9" i="9"/>
  <c r="S57" i="9"/>
  <c r="R57" i="9"/>
  <c r="J57" i="9"/>
  <c r="N57" i="9"/>
  <c r="Q57" i="9"/>
  <c r="O57" i="9"/>
  <c r="U57" i="9"/>
  <c r="I57" i="9"/>
  <c r="H57" i="9"/>
  <c r="P57" i="9"/>
  <c r="M57" i="9"/>
  <c r="R14" i="9"/>
  <c r="J14" i="9"/>
  <c r="O14" i="9"/>
  <c r="M14" i="9"/>
  <c r="S14" i="9"/>
  <c r="I14" i="9"/>
  <c r="P14" i="9"/>
  <c r="H14" i="9"/>
  <c r="Q14" i="9"/>
  <c r="U14" i="9"/>
  <c r="N14" i="9"/>
  <c r="S25" i="9"/>
  <c r="N25" i="9"/>
  <c r="M25" i="9"/>
  <c r="U25" i="9"/>
  <c r="J25" i="9"/>
  <c r="Q25" i="9"/>
  <c r="O25" i="9"/>
  <c r="I25" i="9"/>
  <c r="H25" i="9"/>
  <c r="R25" i="9"/>
  <c r="P25" i="9"/>
  <c r="S69" i="9"/>
  <c r="R69" i="9"/>
  <c r="J69" i="9"/>
  <c r="N69" i="9"/>
  <c r="Q69" i="9"/>
  <c r="O69" i="9"/>
  <c r="I69" i="9"/>
  <c r="H69" i="9"/>
  <c r="P69" i="9"/>
  <c r="M69" i="9"/>
  <c r="U69" i="9"/>
  <c r="N23" i="9"/>
  <c r="Q23" i="9"/>
  <c r="H23" i="9"/>
  <c r="O23" i="9"/>
  <c r="R23" i="9"/>
  <c r="I23" i="9"/>
  <c r="S23" i="9"/>
  <c r="J23" i="9"/>
  <c r="P23" i="9"/>
  <c r="M23" i="9"/>
  <c r="U23" i="9"/>
  <c r="R18" i="9"/>
  <c r="J18" i="9"/>
  <c r="M18" i="9"/>
  <c r="S18" i="9"/>
  <c r="I18" i="9"/>
  <c r="P18" i="9"/>
  <c r="O18" i="9"/>
  <c r="U18" i="9"/>
  <c r="Q18" i="9"/>
  <c r="N18" i="9"/>
  <c r="H18" i="9"/>
  <c r="N13" i="9"/>
  <c r="Q13" i="9"/>
  <c r="H13" i="9"/>
  <c r="O13" i="9"/>
  <c r="R13" i="9"/>
  <c r="I13" i="9"/>
  <c r="M13" i="9"/>
  <c r="J13" i="9"/>
  <c r="U13" i="9"/>
  <c r="S13" i="9"/>
  <c r="P13" i="9"/>
  <c r="R20" i="9"/>
  <c r="J20" i="9"/>
  <c r="M20" i="9"/>
  <c r="S20" i="9"/>
  <c r="I20" i="9"/>
  <c r="P20" i="9"/>
  <c r="O20" i="9"/>
  <c r="Q20" i="9"/>
  <c r="N20" i="9"/>
  <c r="H20" i="9"/>
  <c r="U20" i="9"/>
  <c r="S6" i="9"/>
  <c r="P6" i="9"/>
  <c r="H6" i="9"/>
  <c r="N6" i="9"/>
  <c r="U6" i="9"/>
  <c r="M6" i="9"/>
  <c r="O6" i="9"/>
  <c r="I6" i="9"/>
  <c r="J6" i="9"/>
  <c r="R6" i="9"/>
  <c r="Q6" i="9"/>
  <c r="S55" i="9"/>
  <c r="R55" i="9"/>
  <c r="J55" i="9"/>
  <c r="Q55" i="9"/>
  <c r="O55" i="9"/>
  <c r="H55" i="9"/>
  <c r="N55" i="9"/>
  <c r="U55" i="9"/>
  <c r="P55" i="9"/>
  <c r="M55" i="9"/>
  <c r="I55" i="9"/>
  <c r="S45" i="9"/>
  <c r="R45" i="9"/>
  <c r="J45" i="9"/>
  <c r="U45" i="9"/>
  <c r="I45" i="9"/>
  <c r="Q45" i="9"/>
  <c r="N45" i="9"/>
  <c r="P45" i="9"/>
  <c r="H45" i="9"/>
  <c r="O45" i="9"/>
  <c r="M45" i="9"/>
  <c r="S43" i="9"/>
  <c r="R43" i="9"/>
  <c r="J43" i="9"/>
  <c r="Q43" i="9"/>
  <c r="O43" i="9"/>
  <c r="H43" i="9"/>
  <c r="I43" i="9"/>
  <c r="N43" i="9"/>
  <c r="M43" i="9"/>
  <c r="U43" i="9"/>
  <c r="P43" i="9"/>
  <c r="S59" i="9"/>
  <c r="R59" i="9"/>
  <c r="J59" i="9"/>
  <c r="U59" i="9"/>
  <c r="I59" i="9"/>
  <c r="Q59" i="9"/>
  <c r="N59" i="9"/>
  <c r="H59" i="9"/>
  <c r="P59" i="9"/>
  <c r="O59" i="9"/>
  <c r="M59" i="9"/>
  <c r="N17" i="9"/>
  <c r="O17" i="9"/>
  <c r="R17" i="9"/>
  <c r="I17" i="9"/>
  <c r="Q17" i="9"/>
  <c r="H17" i="9"/>
  <c r="J17" i="9"/>
  <c r="S17" i="9"/>
  <c r="P17" i="9"/>
  <c r="M17" i="9"/>
  <c r="U17" i="9"/>
  <c r="N7" i="9"/>
  <c r="S7" i="9"/>
  <c r="Q7" i="9"/>
  <c r="I7" i="9"/>
  <c r="P7" i="9"/>
  <c r="H7" i="9"/>
  <c r="U7" i="9"/>
  <c r="R7" i="9"/>
  <c r="O7" i="9"/>
  <c r="J7" i="9"/>
  <c r="M7" i="9"/>
  <c r="P67" i="8"/>
  <c r="H60" i="8"/>
  <c r="H75" i="8"/>
  <c r="H54" i="8"/>
  <c r="H67" i="8"/>
  <c r="H61" i="8"/>
  <c r="H69" i="8"/>
  <c r="H87" i="8"/>
  <c r="H55" i="8"/>
  <c r="H56" i="8"/>
  <c r="H66" i="8"/>
  <c r="H80" i="8"/>
  <c r="H79" i="8"/>
  <c r="H82" i="8"/>
  <c r="H86" i="8"/>
  <c r="H65" i="8"/>
  <c r="H59" i="8"/>
  <c r="H74" i="8"/>
  <c r="H78" i="8"/>
  <c r="H64" i="8"/>
  <c r="H84" i="8"/>
  <c r="H58" i="8"/>
  <c r="H85" i="8"/>
  <c r="H72" i="8"/>
  <c r="H71" i="8"/>
  <c r="H81" i="8"/>
  <c r="Q89" i="8"/>
  <c r="S89" i="8"/>
  <c r="P89" i="8"/>
  <c r="S88" i="8"/>
  <c r="N89" i="8"/>
  <c r="M89" i="8"/>
  <c r="P88" i="8"/>
  <c r="N88" i="8"/>
  <c r="H88" i="8"/>
  <c r="H89" i="8"/>
  <c r="I88" i="8"/>
  <c r="O88" i="8"/>
  <c r="R88" i="8"/>
  <c r="M88" i="8"/>
  <c r="R89" i="8"/>
  <c r="I89" i="8"/>
  <c r="M77" i="8"/>
  <c r="I77" i="8"/>
  <c r="H77" i="8"/>
  <c r="J77" i="8"/>
  <c r="U77" i="8"/>
  <c r="Q77" i="8"/>
  <c r="N73" i="8"/>
  <c r="O70" i="8"/>
  <c r="M73" i="8"/>
  <c r="S67" i="8"/>
  <c r="S73" i="8"/>
  <c r="H73" i="8"/>
  <c r="J67" i="8"/>
  <c r="K21" i="8"/>
  <c r="H70" i="8"/>
  <c r="M70" i="8"/>
  <c r="J70" i="8"/>
  <c r="P73" i="8"/>
  <c r="P70" i="8"/>
  <c r="Q67" i="8"/>
  <c r="Q70" i="8"/>
  <c r="U70" i="8"/>
  <c r="R70" i="8"/>
  <c r="U73" i="8"/>
  <c r="O67" i="8"/>
  <c r="O77" i="8"/>
  <c r="S77" i="8"/>
  <c r="P77" i="8"/>
  <c r="M68" i="8"/>
  <c r="Q68" i="8"/>
  <c r="H68" i="8"/>
  <c r="I68" i="8"/>
  <c r="R68" i="8"/>
  <c r="P68" i="8"/>
  <c r="O68" i="8"/>
  <c r="S68" i="8"/>
  <c r="R67" i="8"/>
  <c r="N67" i="8"/>
  <c r="N68" i="8"/>
  <c r="J68" i="8"/>
  <c r="J71" i="8"/>
  <c r="O71" i="8"/>
  <c r="P71" i="8"/>
  <c r="N76" i="8"/>
  <c r="U76" i="8"/>
  <c r="M76" i="8"/>
  <c r="I76" i="8"/>
  <c r="J76" i="8"/>
  <c r="P76" i="8"/>
  <c r="Q76" i="8"/>
  <c r="R76" i="8"/>
  <c r="H76" i="8"/>
  <c r="S76" i="8"/>
  <c r="Q46" i="8"/>
  <c r="G41" i="8"/>
  <c r="G19" i="8"/>
  <c r="I19" i="8" s="1"/>
  <c r="Q49" i="8"/>
  <c r="G25" i="8"/>
  <c r="S25" i="8" s="1"/>
  <c r="I53" i="8"/>
  <c r="Q63" i="8"/>
  <c r="M63" i="8"/>
  <c r="H63" i="8"/>
  <c r="S63" i="8"/>
  <c r="H62" i="8"/>
  <c r="M62" i="8"/>
  <c r="P63" i="8"/>
  <c r="I62" i="8"/>
  <c r="P62" i="8"/>
  <c r="I63" i="8"/>
  <c r="R63" i="8"/>
  <c r="O63" i="8"/>
  <c r="N63" i="8"/>
  <c r="Q62" i="8"/>
  <c r="O62" i="8"/>
  <c r="R62" i="8"/>
  <c r="N62" i="8"/>
  <c r="G15" i="8"/>
  <c r="I15" i="8" s="1"/>
  <c r="G24" i="8"/>
  <c r="O24" i="8" s="1"/>
  <c r="P50" i="8"/>
  <c r="H57" i="8"/>
  <c r="I57" i="8"/>
  <c r="Q57" i="8"/>
  <c r="N57" i="8"/>
  <c r="S57" i="8"/>
  <c r="P57" i="8"/>
  <c r="M57" i="8"/>
  <c r="R57" i="8"/>
  <c r="O57" i="8"/>
  <c r="G32" i="8"/>
  <c r="O32" i="8" s="1"/>
  <c r="I43" i="8"/>
  <c r="K32" i="8"/>
  <c r="J53" i="8"/>
  <c r="I51" i="8"/>
  <c r="U44" i="8"/>
  <c r="I44" i="8"/>
  <c r="H47" i="8"/>
  <c r="L31" i="8"/>
  <c r="R47" i="8"/>
  <c r="I46" i="8"/>
  <c r="G39" i="8"/>
  <c r="S39" i="8" s="1"/>
  <c r="G42" i="8"/>
  <c r="S42" i="8" s="1"/>
  <c r="K42" i="8"/>
  <c r="K22" i="8"/>
  <c r="G29" i="8"/>
  <c r="R29" i="8" s="1"/>
  <c r="L22" i="8"/>
  <c r="Q53" i="8"/>
  <c r="J52" i="8"/>
  <c r="G31" i="8"/>
  <c r="K31" i="8"/>
  <c r="R53" i="8"/>
  <c r="P49" i="8"/>
  <c r="G27" i="8"/>
  <c r="N49" i="8"/>
  <c r="Q44" i="8"/>
  <c r="N53" i="8"/>
  <c r="G2" i="8"/>
  <c r="P2" i="8" s="1"/>
  <c r="U53" i="8"/>
  <c r="R49" i="8"/>
  <c r="I49" i="8"/>
  <c r="I48" i="8"/>
  <c r="J44" i="8"/>
  <c r="G30" i="8"/>
  <c r="U48" i="8"/>
  <c r="R44" i="8"/>
  <c r="Q48" i="8"/>
  <c r="U52" i="8"/>
  <c r="M49" i="8"/>
  <c r="K41" i="8"/>
  <c r="H53" i="8"/>
  <c r="M53" i="8"/>
  <c r="R52" i="8"/>
  <c r="U49" i="8"/>
  <c r="M44" i="8"/>
  <c r="G23" i="8"/>
  <c r="O49" i="8"/>
  <c r="P53" i="8"/>
  <c r="M48" i="8"/>
  <c r="N44" i="8"/>
  <c r="Q52" i="8"/>
  <c r="H51" i="8"/>
  <c r="J49" i="8"/>
  <c r="J48" i="8"/>
  <c r="H48" i="8"/>
  <c r="H44" i="8"/>
  <c r="O53" i="8"/>
  <c r="I52" i="8"/>
  <c r="P51" i="8"/>
  <c r="Q51" i="8"/>
  <c r="H49" i="8"/>
  <c r="R48" i="8"/>
  <c r="Q47" i="8"/>
  <c r="P47" i="8"/>
  <c r="J47" i="8"/>
  <c r="I47" i="8"/>
  <c r="O47" i="8"/>
  <c r="P46" i="8"/>
  <c r="O45" i="8"/>
  <c r="O51" i="8"/>
  <c r="U50" i="8"/>
  <c r="M52" i="8"/>
  <c r="R51" i="8"/>
  <c r="J51" i="8"/>
  <c r="Q50" i="8"/>
  <c r="I50" i="8"/>
  <c r="N48" i="8"/>
  <c r="R46" i="8"/>
  <c r="J46" i="8"/>
  <c r="P45" i="8"/>
  <c r="H45" i="8"/>
  <c r="O44" i="8"/>
  <c r="H50" i="8"/>
  <c r="H46" i="8"/>
  <c r="N45" i="8"/>
  <c r="N51" i="8"/>
  <c r="U45" i="8"/>
  <c r="M51" i="8"/>
  <c r="N47" i="8"/>
  <c r="M46" i="8"/>
  <c r="O50" i="8"/>
  <c r="P52" i="8"/>
  <c r="O52" i="8"/>
  <c r="U51" i="8"/>
  <c r="P48" i="8"/>
  <c r="M47" i="8"/>
  <c r="U46" i="8"/>
  <c r="R45" i="8"/>
  <c r="J45" i="8"/>
  <c r="N50" i="8"/>
  <c r="O46" i="8"/>
  <c r="M45" i="8"/>
  <c r="M50" i="8"/>
  <c r="N46" i="8"/>
  <c r="H52" i="8"/>
  <c r="N52" i="8"/>
  <c r="R50" i="8"/>
  <c r="J50" i="8"/>
  <c r="O48" i="8"/>
  <c r="U47" i="8"/>
  <c r="Q45" i="8"/>
  <c r="I45" i="8"/>
  <c r="P44" i="8"/>
  <c r="R43" i="8"/>
  <c r="J43" i="8"/>
  <c r="N43" i="8"/>
  <c r="P43" i="8"/>
  <c r="O43" i="8"/>
  <c r="M43" i="8"/>
  <c r="H43" i="8"/>
  <c r="Q43" i="8"/>
  <c r="U43" i="8"/>
  <c r="G40" i="8"/>
  <c r="M40" i="8" s="1"/>
  <c r="G37" i="8"/>
  <c r="G21" i="8"/>
  <c r="G22" i="8"/>
  <c r="G16" i="8"/>
  <c r="G18" i="8"/>
  <c r="G14" i="8"/>
  <c r="G17" i="8"/>
  <c r="G13" i="8"/>
  <c r="K12" i="8"/>
  <c r="K11" i="8"/>
  <c r="G12" i="8"/>
  <c r="G11" i="8"/>
  <c r="G10" i="8"/>
  <c r="AL6" i="8"/>
  <c r="AH5" i="8"/>
  <c r="AG6" i="8"/>
  <c r="K6" i="8" s="1"/>
  <c r="AH2" i="8"/>
  <c r="AG3" i="8"/>
  <c r="K3" i="8" s="1"/>
  <c r="AH4" i="8"/>
  <c r="AG5" i="8"/>
  <c r="K5" i="8" s="1"/>
  <c r="AH6" i="8"/>
  <c r="L2" i="8"/>
  <c r="AH3" i="8"/>
  <c r="AH8" i="8"/>
  <c r="AG8" i="8"/>
  <c r="K8" i="8" s="1"/>
  <c r="Y2" i="7"/>
  <c r="Y3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Z2" i="7"/>
  <c r="F2" i="7" s="1"/>
  <c r="Z3" i="7"/>
  <c r="F3" i="7" s="1"/>
  <c r="Z4" i="7"/>
  <c r="F4" i="7" s="1"/>
  <c r="Z5" i="7"/>
  <c r="F5" i="7" s="1"/>
  <c r="Z6" i="7"/>
  <c r="Z7" i="7"/>
  <c r="Z8" i="7"/>
  <c r="Z9" i="7"/>
  <c r="Z10" i="7"/>
  <c r="F10" i="7" s="1"/>
  <c r="Z11" i="7"/>
  <c r="F11" i="7" s="1"/>
  <c r="Z12" i="7"/>
  <c r="F12" i="7" s="1"/>
  <c r="Z13" i="7"/>
  <c r="F13" i="7" s="1"/>
  <c r="Z14" i="7"/>
  <c r="Z15" i="7"/>
  <c r="Z16" i="7"/>
  <c r="F16" i="7" s="1"/>
  <c r="Z17" i="7"/>
  <c r="Z18" i="7"/>
  <c r="F18" i="7" s="1"/>
  <c r="Z19" i="7"/>
  <c r="F19" i="7" s="1"/>
  <c r="Z20" i="7"/>
  <c r="F20" i="7" s="1"/>
  <c r="Z21" i="7"/>
  <c r="F21" i="7" s="1"/>
  <c r="Z22" i="7"/>
  <c r="Z23" i="7"/>
  <c r="Z24" i="7"/>
  <c r="F24" i="7" s="1"/>
  <c r="Z25" i="7"/>
  <c r="Z26" i="7"/>
  <c r="F26" i="7" s="1"/>
  <c r="Z27" i="7"/>
  <c r="F27" i="7" s="1"/>
  <c r="Z28" i="7"/>
  <c r="F28" i="7" s="1"/>
  <c r="Z29" i="7"/>
  <c r="F29" i="7" s="1"/>
  <c r="Z30" i="7"/>
  <c r="Z31" i="7"/>
  <c r="Z32" i="7"/>
  <c r="F32" i="7" s="1"/>
  <c r="Z33" i="7"/>
  <c r="Z34" i="7"/>
  <c r="F34" i="7" s="1"/>
  <c r="Z35" i="7"/>
  <c r="F35" i="7" s="1"/>
  <c r="Z36" i="7"/>
  <c r="F36" i="7" s="1"/>
  <c r="Z37" i="7"/>
  <c r="F37" i="7" s="1"/>
  <c r="AA2" i="7"/>
  <c r="AA3" i="7"/>
  <c r="AA4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B2" i="7"/>
  <c r="V2" i="7" s="1"/>
  <c r="AB3" i="7"/>
  <c r="V3" i="7" s="1"/>
  <c r="AB4" i="7"/>
  <c r="AB5" i="7"/>
  <c r="AB6" i="7"/>
  <c r="AB7" i="7"/>
  <c r="V7" i="7" s="1"/>
  <c r="AB8" i="7"/>
  <c r="AB9" i="7"/>
  <c r="V9" i="7" s="1"/>
  <c r="AB10" i="7"/>
  <c r="V10" i="7" s="1"/>
  <c r="AB11" i="7"/>
  <c r="V11" i="7" s="1"/>
  <c r="AB12" i="7"/>
  <c r="V12" i="7" s="1"/>
  <c r="AB13" i="7"/>
  <c r="V13" i="7" s="1"/>
  <c r="AB14" i="7"/>
  <c r="AB15" i="7"/>
  <c r="V15" i="7" s="1"/>
  <c r="AB16" i="7"/>
  <c r="V16" i="7" s="1"/>
  <c r="AB17" i="7"/>
  <c r="V17" i="7" s="1"/>
  <c r="AB18" i="7"/>
  <c r="V18" i="7" s="1"/>
  <c r="AB19" i="7"/>
  <c r="AB20" i="7"/>
  <c r="V20" i="7" s="1"/>
  <c r="AB21" i="7"/>
  <c r="AB22" i="7"/>
  <c r="AB23" i="7"/>
  <c r="V23" i="7" s="1"/>
  <c r="AB24" i="7"/>
  <c r="AB25" i="7"/>
  <c r="V25" i="7" s="1"/>
  <c r="AB26" i="7"/>
  <c r="AB27" i="7"/>
  <c r="V27" i="7" s="1"/>
  <c r="AB28" i="7"/>
  <c r="V28" i="7" s="1"/>
  <c r="AB29" i="7"/>
  <c r="AB30" i="7"/>
  <c r="V30" i="7" s="1"/>
  <c r="AB31" i="7"/>
  <c r="V31" i="7" s="1"/>
  <c r="AB32" i="7"/>
  <c r="V32" i="7" s="1"/>
  <c r="AB33" i="7"/>
  <c r="AB34" i="7"/>
  <c r="V34" i="7" s="1"/>
  <c r="AB35" i="7"/>
  <c r="V35" i="7" s="1"/>
  <c r="AB36" i="7"/>
  <c r="V36" i="7" s="1"/>
  <c r="AB37" i="7"/>
  <c r="AI2" i="7"/>
  <c r="AI3" i="7"/>
  <c r="AI4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K5" i="7"/>
  <c r="AK6" i="7" s="1"/>
  <c r="L3" i="4"/>
  <c r="L4" i="4"/>
  <c r="L5" i="4"/>
  <c r="L6" i="4"/>
  <c r="L7" i="4"/>
  <c r="L9" i="4"/>
  <c r="L10" i="4"/>
  <c r="L11" i="4"/>
  <c r="L12" i="4"/>
  <c r="L13" i="4"/>
  <c r="L17" i="4"/>
  <c r="L20" i="4"/>
  <c r="L21" i="4"/>
  <c r="L24" i="4"/>
  <c r="L25" i="4"/>
  <c r="L26" i="4"/>
  <c r="L27" i="4"/>
  <c r="L37" i="4"/>
  <c r="L45" i="4"/>
  <c r="L2" i="4"/>
  <c r="AD13" i="7" l="1"/>
  <c r="J36" i="8"/>
  <c r="N28" i="8"/>
  <c r="AG12" i="7"/>
  <c r="K12" i="7" s="1"/>
  <c r="I36" i="8"/>
  <c r="R33" i="8"/>
  <c r="O36" i="8"/>
  <c r="N38" i="8"/>
  <c r="N7" i="8"/>
  <c r="D13" i="7"/>
  <c r="R36" i="8"/>
  <c r="M33" i="8"/>
  <c r="AH24" i="7"/>
  <c r="R6" i="8"/>
  <c r="U33" i="8"/>
  <c r="I28" i="8"/>
  <c r="H35" i="8"/>
  <c r="N33" i="8"/>
  <c r="Q28" i="8"/>
  <c r="P35" i="8"/>
  <c r="J33" i="8"/>
  <c r="J28" i="8"/>
  <c r="AG27" i="7"/>
  <c r="K27" i="7" s="1"/>
  <c r="J35" i="8"/>
  <c r="H33" i="8"/>
  <c r="O33" i="8"/>
  <c r="P33" i="8"/>
  <c r="I33" i="8"/>
  <c r="I35" i="8"/>
  <c r="M20" i="8"/>
  <c r="Q33" i="8"/>
  <c r="F9" i="7"/>
  <c r="O6" i="8"/>
  <c r="O4" i="8"/>
  <c r="P26" i="8"/>
  <c r="AD23" i="7"/>
  <c r="AG10" i="7"/>
  <c r="K10" i="7" s="1"/>
  <c r="F30" i="7"/>
  <c r="F22" i="7"/>
  <c r="F14" i="7"/>
  <c r="F6" i="7"/>
  <c r="M8" i="8"/>
  <c r="U6" i="8"/>
  <c r="I34" i="8"/>
  <c r="U28" i="8"/>
  <c r="F25" i="7"/>
  <c r="F17" i="7"/>
  <c r="N6" i="8"/>
  <c r="F23" i="7"/>
  <c r="F15" i="7"/>
  <c r="I26" i="8"/>
  <c r="I6" i="8"/>
  <c r="F33" i="7"/>
  <c r="S6" i="8"/>
  <c r="U26" i="8"/>
  <c r="L8" i="7"/>
  <c r="F8" i="7"/>
  <c r="F31" i="7"/>
  <c r="F7" i="7"/>
  <c r="M6" i="8"/>
  <c r="M26" i="8"/>
  <c r="P6" i="8"/>
  <c r="J6" i="8"/>
  <c r="H9" i="8"/>
  <c r="P28" i="8"/>
  <c r="I38" i="8"/>
  <c r="I7" i="8"/>
  <c r="Q4" i="8"/>
  <c r="U20" i="8"/>
  <c r="Q38" i="8"/>
  <c r="R28" i="8"/>
  <c r="O28" i="8"/>
  <c r="M7" i="8"/>
  <c r="AH33" i="7"/>
  <c r="H28" i="8"/>
  <c r="H7" i="8"/>
  <c r="D8" i="7"/>
  <c r="N4" i="8"/>
  <c r="N32" i="8"/>
  <c r="U4" i="8"/>
  <c r="N5" i="8"/>
  <c r="M28" i="8"/>
  <c r="J38" i="8"/>
  <c r="AD8" i="7"/>
  <c r="AH25" i="7"/>
  <c r="U38" i="8"/>
  <c r="Q26" i="8"/>
  <c r="G35" i="7"/>
  <c r="I35" i="7" s="1"/>
  <c r="D35" i="7"/>
  <c r="G34" i="7"/>
  <c r="I34" i="7" s="1"/>
  <c r="D34" i="7"/>
  <c r="G18" i="7"/>
  <c r="R18" i="7" s="1"/>
  <c r="D18" i="7"/>
  <c r="G2" i="7"/>
  <c r="I2" i="7" s="1"/>
  <c r="D2" i="7"/>
  <c r="U8" i="8"/>
  <c r="AD33" i="7"/>
  <c r="V33" i="7"/>
  <c r="G37" i="7"/>
  <c r="O37" i="7" s="1"/>
  <c r="D37" i="7"/>
  <c r="G29" i="7"/>
  <c r="U29" i="7" s="1"/>
  <c r="D29" i="7"/>
  <c r="G21" i="7"/>
  <c r="M21" i="7" s="1"/>
  <c r="D21" i="7"/>
  <c r="G5" i="7"/>
  <c r="O5" i="7" s="1"/>
  <c r="D5" i="7"/>
  <c r="Q5" i="8"/>
  <c r="N8" i="8"/>
  <c r="J9" i="8"/>
  <c r="J15" i="8"/>
  <c r="P34" i="8"/>
  <c r="M34" i="8"/>
  <c r="AG11" i="7"/>
  <c r="K11" i="7" s="1"/>
  <c r="L24" i="7"/>
  <c r="V24" i="7"/>
  <c r="AH8" i="7"/>
  <c r="V8" i="7"/>
  <c r="G36" i="7"/>
  <c r="I36" i="7" s="1"/>
  <c r="D36" i="7"/>
  <c r="G28" i="7"/>
  <c r="D28" i="7"/>
  <c r="G20" i="7"/>
  <c r="D20" i="7"/>
  <c r="G12" i="7"/>
  <c r="I12" i="7" s="1"/>
  <c r="D12" i="7"/>
  <c r="G4" i="7"/>
  <c r="D4" i="7"/>
  <c r="O8" i="8"/>
  <c r="R8" i="8"/>
  <c r="P9" i="8"/>
  <c r="Q34" i="8"/>
  <c r="N34" i="8"/>
  <c r="Q36" i="8"/>
  <c r="U25" i="8"/>
  <c r="L22" i="7"/>
  <c r="V22" i="7"/>
  <c r="G26" i="7"/>
  <c r="D26" i="7"/>
  <c r="P8" i="8"/>
  <c r="I9" i="8"/>
  <c r="J34" i="8"/>
  <c r="AH23" i="7"/>
  <c r="AG29" i="7"/>
  <c r="K29" i="7" s="1"/>
  <c r="V29" i="7"/>
  <c r="L5" i="7"/>
  <c r="V5" i="7"/>
  <c r="AH17" i="7"/>
  <c r="G33" i="7"/>
  <c r="P33" i="7" s="1"/>
  <c r="D33" i="7"/>
  <c r="O9" i="8"/>
  <c r="R34" i="8"/>
  <c r="AH7" i="7"/>
  <c r="V4" i="7"/>
  <c r="G32" i="7"/>
  <c r="R32" i="7" s="1"/>
  <c r="D32" i="7"/>
  <c r="G24" i="7"/>
  <c r="P24" i="7" s="1"/>
  <c r="D24" i="7"/>
  <c r="G16" i="7"/>
  <c r="O16" i="7" s="1"/>
  <c r="D16" i="7"/>
  <c r="I8" i="8"/>
  <c r="J8" i="8"/>
  <c r="U9" i="8"/>
  <c r="U36" i="8"/>
  <c r="AH6" i="7"/>
  <c r="V6" i="7"/>
  <c r="L37" i="7"/>
  <c r="V37" i="7"/>
  <c r="L21" i="7"/>
  <c r="V21" i="7"/>
  <c r="G25" i="7"/>
  <c r="D25" i="7"/>
  <c r="G9" i="7"/>
  <c r="R9" i="7" s="1"/>
  <c r="D9" i="7"/>
  <c r="H8" i="8"/>
  <c r="M9" i="8"/>
  <c r="AG19" i="7"/>
  <c r="K19" i="7" s="1"/>
  <c r="V19" i="7"/>
  <c r="G31" i="7"/>
  <c r="R31" i="7" s="1"/>
  <c r="D31" i="7"/>
  <c r="G23" i="7"/>
  <c r="U23" i="7" s="1"/>
  <c r="D23" i="7"/>
  <c r="G15" i="7"/>
  <c r="O15" i="7" s="1"/>
  <c r="D15" i="7"/>
  <c r="G7" i="7"/>
  <c r="U7" i="7" s="1"/>
  <c r="D7" i="7"/>
  <c r="Q8" i="8"/>
  <c r="S9" i="8"/>
  <c r="Q9" i="8"/>
  <c r="O34" i="8"/>
  <c r="H36" i="8"/>
  <c r="M36" i="8"/>
  <c r="J39" i="8"/>
  <c r="G27" i="7"/>
  <c r="D27" i="7"/>
  <c r="G19" i="7"/>
  <c r="P19" i="7" s="1"/>
  <c r="D19" i="7"/>
  <c r="G11" i="7"/>
  <c r="R11" i="7" s="1"/>
  <c r="D11" i="7"/>
  <c r="G3" i="7"/>
  <c r="N3" i="7" s="1"/>
  <c r="D3" i="7"/>
  <c r="V14" i="7"/>
  <c r="G10" i="7"/>
  <c r="O10" i="7" s="1"/>
  <c r="D10" i="7"/>
  <c r="O39" i="8"/>
  <c r="G17" i="7"/>
  <c r="O17" i="7" s="1"/>
  <c r="D17" i="7"/>
  <c r="AG13" i="7"/>
  <c r="K13" i="7" s="1"/>
  <c r="AG26" i="7"/>
  <c r="K26" i="7" s="1"/>
  <c r="V26" i="7"/>
  <c r="G30" i="7"/>
  <c r="R30" i="7" s="1"/>
  <c r="D30" i="7"/>
  <c r="G22" i="7"/>
  <c r="U22" i="7" s="1"/>
  <c r="D22" i="7"/>
  <c r="G14" i="7"/>
  <c r="M14" i="7" s="1"/>
  <c r="D14" i="7"/>
  <c r="G6" i="7"/>
  <c r="U6" i="7" s="1"/>
  <c r="D6" i="7"/>
  <c r="H3" i="8"/>
  <c r="R9" i="8"/>
  <c r="H34" i="8"/>
  <c r="U34" i="8"/>
  <c r="P36" i="8"/>
  <c r="N36" i="8"/>
  <c r="P7" i="8"/>
  <c r="O3" i="8"/>
  <c r="H6" i="8"/>
  <c r="H4" i="8"/>
  <c r="S20" i="8"/>
  <c r="R20" i="8"/>
  <c r="Q35" i="8"/>
  <c r="M38" i="8"/>
  <c r="R38" i="8"/>
  <c r="S26" i="8"/>
  <c r="R3" i="8"/>
  <c r="S3" i="8"/>
  <c r="Q20" i="8"/>
  <c r="M4" i="8"/>
  <c r="Q7" i="8"/>
  <c r="R4" i="8"/>
  <c r="S4" i="8"/>
  <c r="S7" i="8"/>
  <c r="O5" i="8"/>
  <c r="H15" i="8"/>
  <c r="O20" i="8"/>
  <c r="P20" i="8"/>
  <c r="U35" i="8"/>
  <c r="R35" i="8"/>
  <c r="O38" i="8"/>
  <c r="O26" i="8"/>
  <c r="U31" i="8"/>
  <c r="W30" i="8"/>
  <c r="W28" i="8"/>
  <c r="W29" i="8"/>
  <c r="W23" i="8"/>
  <c r="W31" i="8"/>
  <c r="W24" i="8"/>
  <c r="W32" i="8"/>
  <c r="W25" i="8"/>
  <c r="W26" i="8"/>
  <c r="W27" i="8"/>
  <c r="H5" i="8"/>
  <c r="R5" i="8"/>
  <c r="N3" i="8"/>
  <c r="J7" i="8"/>
  <c r="M5" i="8"/>
  <c r="U3" i="8"/>
  <c r="J4" i="8"/>
  <c r="P5" i="8"/>
  <c r="Q3" i="8"/>
  <c r="P3" i="8"/>
  <c r="O7" i="8"/>
  <c r="S15" i="8"/>
  <c r="N20" i="8"/>
  <c r="H20" i="8"/>
  <c r="M35" i="8"/>
  <c r="H38" i="8"/>
  <c r="J26" i="8"/>
  <c r="H21" i="8"/>
  <c r="W17" i="8"/>
  <c r="W18" i="8"/>
  <c r="W22" i="8"/>
  <c r="W13" i="8"/>
  <c r="W19" i="8"/>
  <c r="W14" i="8"/>
  <c r="W15" i="8"/>
  <c r="W16" i="8"/>
  <c r="W20" i="8"/>
  <c r="W21" i="8"/>
  <c r="J5" i="8"/>
  <c r="I5" i="8"/>
  <c r="W3" i="8"/>
  <c r="W9" i="8"/>
  <c r="W11" i="8"/>
  <c r="W2" i="8"/>
  <c r="W4" i="8"/>
  <c r="W5" i="8"/>
  <c r="W12" i="8"/>
  <c r="W7" i="8"/>
  <c r="W6" i="8"/>
  <c r="W10" i="8"/>
  <c r="W8" i="8"/>
  <c r="P15" i="8"/>
  <c r="J20" i="8"/>
  <c r="R7" i="8"/>
  <c r="U5" i="8"/>
  <c r="I3" i="8"/>
  <c r="J3" i="8"/>
  <c r="P4" i="8"/>
  <c r="N2" i="8"/>
  <c r="R15" i="8"/>
  <c r="Q15" i="8"/>
  <c r="N35" i="8"/>
  <c r="O35" i="8"/>
  <c r="P38" i="8"/>
  <c r="R26" i="8"/>
  <c r="N26" i="8"/>
  <c r="I41" i="8"/>
  <c r="W35" i="8"/>
  <c r="W33" i="8"/>
  <c r="W34" i="8"/>
  <c r="W36" i="8"/>
  <c r="W41" i="8"/>
  <c r="W37" i="8"/>
  <c r="W42" i="8"/>
  <c r="W38" i="8"/>
  <c r="W39" i="8"/>
  <c r="W40" i="8"/>
  <c r="R32" i="8"/>
  <c r="J25" i="8"/>
  <c r="I32" i="8"/>
  <c r="J32" i="8"/>
  <c r="L30" i="7"/>
  <c r="AD9" i="7"/>
  <c r="AH9" i="7"/>
  <c r="AD22" i="7"/>
  <c r="L32" i="7"/>
  <c r="L16" i="7"/>
  <c r="L6" i="7"/>
  <c r="AG37" i="7"/>
  <c r="K37" i="7" s="1"/>
  <c r="AG21" i="7"/>
  <c r="K21" i="7" s="1"/>
  <c r="AD21" i="7"/>
  <c r="L14" i="7"/>
  <c r="O14" i="7"/>
  <c r="AH22" i="7"/>
  <c r="AG28" i="7"/>
  <c r="K28" i="7" s="1"/>
  <c r="AG34" i="7"/>
  <c r="K34" i="7" s="1"/>
  <c r="AG18" i="7"/>
  <c r="K18" i="7" s="1"/>
  <c r="AD30" i="7"/>
  <c r="AH14" i="7"/>
  <c r="P14" i="7"/>
  <c r="W14" i="7"/>
  <c r="O25" i="8"/>
  <c r="H25" i="8"/>
  <c r="H19" i="8"/>
  <c r="N25" i="8"/>
  <c r="Q25" i="8"/>
  <c r="R25" i="8"/>
  <c r="M25" i="8"/>
  <c r="I25" i="8"/>
  <c r="I42" i="8"/>
  <c r="H42" i="8"/>
  <c r="R41" i="8"/>
  <c r="Q42" i="8"/>
  <c r="J42" i="8"/>
  <c r="J41" i="8"/>
  <c r="S41" i="8"/>
  <c r="U19" i="8"/>
  <c r="P41" i="8"/>
  <c r="S2" i="8"/>
  <c r="S19" i="8"/>
  <c r="N41" i="8"/>
  <c r="Q41" i="8"/>
  <c r="R24" i="8"/>
  <c r="O15" i="8"/>
  <c r="J19" i="8"/>
  <c r="N15" i="8"/>
  <c r="H41" i="8"/>
  <c r="N24" i="8"/>
  <c r="O31" i="8"/>
  <c r="U15" i="8"/>
  <c r="Q19" i="8"/>
  <c r="M41" i="8"/>
  <c r="O41" i="8"/>
  <c r="O2" i="8"/>
  <c r="P19" i="8"/>
  <c r="M31" i="8"/>
  <c r="M15" i="8"/>
  <c r="P21" i="8"/>
  <c r="U41" i="8"/>
  <c r="H32" i="8"/>
  <c r="M19" i="8"/>
  <c r="R19" i="8"/>
  <c r="Q39" i="8"/>
  <c r="O19" i="8"/>
  <c r="N19" i="8"/>
  <c r="M29" i="8"/>
  <c r="R31" i="8"/>
  <c r="P25" i="8"/>
  <c r="P32" i="8"/>
  <c r="S32" i="8"/>
  <c r="N29" i="8"/>
  <c r="M24" i="8"/>
  <c r="Q32" i="8"/>
  <c r="J24" i="8"/>
  <c r="U32" i="8"/>
  <c r="M32" i="8"/>
  <c r="P42" i="8"/>
  <c r="Q24" i="8"/>
  <c r="P24" i="8"/>
  <c r="H39" i="8"/>
  <c r="M42" i="8"/>
  <c r="O42" i="8"/>
  <c r="P31" i="8"/>
  <c r="I39" i="8"/>
  <c r="N42" i="8"/>
  <c r="U24" i="8"/>
  <c r="H29" i="8"/>
  <c r="H24" i="8"/>
  <c r="S31" i="8"/>
  <c r="M39" i="8"/>
  <c r="U42" i="8"/>
  <c r="J31" i="8"/>
  <c r="S24" i="8"/>
  <c r="I24" i="8"/>
  <c r="R42" i="8"/>
  <c r="U39" i="8"/>
  <c r="P39" i="8"/>
  <c r="N39" i="8"/>
  <c r="S29" i="8"/>
  <c r="P29" i="8"/>
  <c r="I29" i="8"/>
  <c r="O29" i="8"/>
  <c r="Q29" i="8"/>
  <c r="R39" i="8"/>
  <c r="U29" i="8"/>
  <c r="J29" i="8"/>
  <c r="I31" i="8"/>
  <c r="H31" i="8"/>
  <c r="N31" i="8"/>
  <c r="Q31" i="8"/>
  <c r="J2" i="8"/>
  <c r="R21" i="8"/>
  <c r="I2" i="8"/>
  <c r="H2" i="8"/>
  <c r="M2" i="8"/>
  <c r="S27" i="8"/>
  <c r="N27" i="8"/>
  <c r="H27" i="8"/>
  <c r="P27" i="8"/>
  <c r="Q27" i="8"/>
  <c r="M27" i="8"/>
  <c r="O27" i="8"/>
  <c r="J27" i="8"/>
  <c r="R27" i="8"/>
  <c r="U27" i="8"/>
  <c r="I27" i="8"/>
  <c r="S30" i="8"/>
  <c r="N30" i="8"/>
  <c r="M30" i="8"/>
  <c r="O30" i="8"/>
  <c r="J30" i="8"/>
  <c r="R30" i="8"/>
  <c r="U30" i="8"/>
  <c r="H30" i="8"/>
  <c r="P30" i="8"/>
  <c r="I30" i="8"/>
  <c r="Q30" i="8"/>
  <c r="Q2" i="8"/>
  <c r="R2" i="8"/>
  <c r="U2" i="8"/>
  <c r="S21" i="8"/>
  <c r="S23" i="8"/>
  <c r="U23" i="8"/>
  <c r="O23" i="8"/>
  <c r="Q23" i="8"/>
  <c r="I23" i="8"/>
  <c r="J23" i="8"/>
  <c r="R23" i="8"/>
  <c r="M23" i="8"/>
  <c r="N23" i="8"/>
  <c r="H23" i="8"/>
  <c r="P23" i="8"/>
  <c r="S37" i="8"/>
  <c r="U37" i="8"/>
  <c r="M37" i="8"/>
  <c r="N37" i="8"/>
  <c r="J37" i="8"/>
  <c r="Q37" i="8"/>
  <c r="R37" i="8"/>
  <c r="O37" i="8"/>
  <c r="H37" i="8"/>
  <c r="P37" i="8"/>
  <c r="I37" i="8"/>
  <c r="S40" i="8"/>
  <c r="N40" i="8"/>
  <c r="O40" i="8"/>
  <c r="P40" i="8"/>
  <c r="I40" i="8"/>
  <c r="Q40" i="8"/>
  <c r="H40" i="8"/>
  <c r="R40" i="8"/>
  <c r="J40" i="8"/>
  <c r="U40" i="8"/>
  <c r="J21" i="8"/>
  <c r="I21" i="8"/>
  <c r="Q21" i="8"/>
  <c r="M21" i="8"/>
  <c r="U21" i="8"/>
  <c r="O21" i="8"/>
  <c r="N21" i="8"/>
  <c r="N22" i="8"/>
  <c r="H22" i="8"/>
  <c r="P22" i="8"/>
  <c r="I22" i="8"/>
  <c r="Q22" i="8"/>
  <c r="M22" i="8"/>
  <c r="O22" i="8"/>
  <c r="J22" i="8"/>
  <c r="R22" i="8"/>
  <c r="S22" i="8"/>
  <c r="U22" i="8"/>
  <c r="M14" i="8"/>
  <c r="U14" i="8"/>
  <c r="N14" i="8"/>
  <c r="O14" i="8"/>
  <c r="H14" i="8"/>
  <c r="P14" i="8"/>
  <c r="I14" i="8"/>
  <c r="Q14" i="8"/>
  <c r="J14" i="8"/>
  <c r="R14" i="8"/>
  <c r="S14" i="8"/>
  <c r="M18" i="8"/>
  <c r="N18" i="8"/>
  <c r="O18" i="8"/>
  <c r="H18" i="8"/>
  <c r="P18" i="8"/>
  <c r="I18" i="8"/>
  <c r="Q18" i="8"/>
  <c r="J18" i="8"/>
  <c r="R18" i="8"/>
  <c r="S18" i="8"/>
  <c r="U18" i="8"/>
  <c r="H16" i="8"/>
  <c r="P16" i="8"/>
  <c r="I16" i="8"/>
  <c r="Q16" i="8"/>
  <c r="J16" i="8"/>
  <c r="R16" i="8"/>
  <c r="S16" i="8"/>
  <c r="M16" i="8"/>
  <c r="U16" i="8"/>
  <c r="N16" i="8"/>
  <c r="O16" i="8"/>
  <c r="N13" i="8"/>
  <c r="O13" i="8"/>
  <c r="H13" i="8"/>
  <c r="P13" i="8"/>
  <c r="I13" i="8"/>
  <c r="Q13" i="8"/>
  <c r="J13" i="8"/>
  <c r="R13" i="8"/>
  <c r="S13" i="8"/>
  <c r="M13" i="8"/>
  <c r="U13" i="8"/>
  <c r="N17" i="8"/>
  <c r="O17" i="8"/>
  <c r="H17" i="8"/>
  <c r="P17" i="8"/>
  <c r="I17" i="8"/>
  <c r="Q17" i="8"/>
  <c r="J17" i="8"/>
  <c r="R17" i="8"/>
  <c r="S17" i="8"/>
  <c r="M17" i="8"/>
  <c r="U17" i="8"/>
  <c r="N11" i="8"/>
  <c r="I11" i="8"/>
  <c r="U11" i="8"/>
  <c r="O11" i="8"/>
  <c r="Q11" i="8"/>
  <c r="H11" i="8"/>
  <c r="P11" i="8"/>
  <c r="J11" i="8"/>
  <c r="R11" i="8"/>
  <c r="S11" i="8"/>
  <c r="M11" i="8"/>
  <c r="J12" i="8"/>
  <c r="R12" i="8"/>
  <c r="O12" i="8"/>
  <c r="H12" i="8"/>
  <c r="P12" i="8"/>
  <c r="S12" i="8"/>
  <c r="M12" i="8"/>
  <c r="U12" i="8"/>
  <c r="I12" i="8"/>
  <c r="N12" i="8"/>
  <c r="Q12" i="8"/>
  <c r="J10" i="8"/>
  <c r="R10" i="8"/>
  <c r="M10" i="8"/>
  <c r="U10" i="8"/>
  <c r="H10" i="8"/>
  <c r="P10" i="8"/>
  <c r="S10" i="8"/>
  <c r="N10" i="8"/>
  <c r="O10" i="8"/>
  <c r="I10" i="8"/>
  <c r="Q10" i="8"/>
  <c r="AD36" i="7"/>
  <c r="AH36" i="7"/>
  <c r="AD12" i="7"/>
  <c r="AH12" i="7"/>
  <c r="L28" i="7"/>
  <c r="L12" i="7"/>
  <c r="AD35" i="7"/>
  <c r="AH35" i="7"/>
  <c r="AD3" i="7"/>
  <c r="AH3" i="7"/>
  <c r="AG31" i="7"/>
  <c r="K31" i="7" s="1"/>
  <c r="AG15" i="7"/>
  <c r="K15" i="7" s="1"/>
  <c r="AD15" i="7"/>
  <c r="L27" i="7"/>
  <c r="AD26" i="7"/>
  <c r="AH26" i="7"/>
  <c r="AD10" i="7"/>
  <c r="AH10" i="7"/>
  <c r="AG22" i="7"/>
  <c r="K22" i="7" s="1"/>
  <c r="AG6" i="7"/>
  <c r="K6" i="7" s="1"/>
  <c r="AD6" i="7"/>
  <c r="L26" i="7"/>
  <c r="L10" i="7"/>
  <c r="AG3" i="7"/>
  <c r="K3" i="7" s="1"/>
  <c r="AG17" i="7"/>
  <c r="K17" i="7" s="1"/>
  <c r="AD17" i="7"/>
  <c r="AD37" i="7"/>
  <c r="AH37" i="7"/>
  <c r="L33" i="7"/>
  <c r="L17" i="7"/>
  <c r="N29" i="7"/>
  <c r="AH31" i="7"/>
  <c r="AH15" i="7"/>
  <c r="AH30" i="7"/>
  <c r="U16" i="7"/>
  <c r="AD28" i="7"/>
  <c r="AH28" i="7"/>
  <c r="AD16" i="7"/>
  <c r="AG16" i="7"/>
  <c r="K16" i="7" s="1"/>
  <c r="L20" i="7"/>
  <c r="AH19" i="7"/>
  <c r="AG23" i="7"/>
  <c r="K23" i="7" s="1"/>
  <c r="L35" i="7"/>
  <c r="L3" i="7"/>
  <c r="P16" i="7"/>
  <c r="AD18" i="7"/>
  <c r="J18" i="7" s="1"/>
  <c r="AH18" i="7"/>
  <c r="AG30" i="7"/>
  <c r="K30" i="7" s="1"/>
  <c r="P25" i="7"/>
  <c r="AD25" i="7"/>
  <c r="J25" i="7" s="1"/>
  <c r="AG25" i="7"/>
  <c r="K25" i="7" s="1"/>
  <c r="AD29" i="7"/>
  <c r="AH29" i="7"/>
  <c r="H29" i="7" s="1"/>
  <c r="AD20" i="7"/>
  <c r="AH20" i="7"/>
  <c r="AG32" i="7"/>
  <c r="K32" i="7" s="1"/>
  <c r="L36" i="7"/>
  <c r="Q29" i="7"/>
  <c r="AH11" i="7"/>
  <c r="L11" i="7"/>
  <c r="AD19" i="7"/>
  <c r="AD34" i="7"/>
  <c r="AH34" i="7"/>
  <c r="AD14" i="7"/>
  <c r="AG14" i="7"/>
  <c r="K14" i="7" s="1"/>
  <c r="L34" i="7"/>
  <c r="L2" i="7"/>
  <c r="AG33" i="7"/>
  <c r="K33" i="7" s="1"/>
  <c r="AH21" i="7"/>
  <c r="AD5" i="7"/>
  <c r="AG5" i="7"/>
  <c r="K5" i="7" s="1"/>
  <c r="AH5" i="7"/>
  <c r="L25" i="7"/>
  <c r="L9" i="7"/>
  <c r="AH32" i="7"/>
  <c r="AH16" i="7"/>
  <c r="H16" i="7" s="1"/>
  <c r="AG36" i="7"/>
  <c r="K36" i="7" s="1"/>
  <c r="AG20" i="7"/>
  <c r="K20" i="7" s="1"/>
  <c r="AG2" i="7"/>
  <c r="K2" i="7" s="1"/>
  <c r="AD32" i="7"/>
  <c r="AD11" i="7"/>
  <c r="S30" i="7"/>
  <c r="I10" i="7"/>
  <c r="AD4" i="7"/>
  <c r="AH4" i="7"/>
  <c r="AG4" i="7"/>
  <c r="K4" i="7" s="1"/>
  <c r="AG24" i="7"/>
  <c r="K24" i="7" s="1"/>
  <c r="AD24" i="7"/>
  <c r="J24" i="7" s="1"/>
  <c r="AG8" i="7"/>
  <c r="K8" i="7" s="1"/>
  <c r="L4" i="7"/>
  <c r="S16" i="7"/>
  <c r="G8" i="7"/>
  <c r="AH27" i="7"/>
  <c r="AD27" i="7"/>
  <c r="AG7" i="7"/>
  <c r="K7" i="7" s="1"/>
  <c r="AD7" i="7"/>
  <c r="L19" i="7"/>
  <c r="I23" i="7"/>
  <c r="M23" i="7"/>
  <c r="O23" i="7"/>
  <c r="P23" i="7"/>
  <c r="AD2" i="7"/>
  <c r="AH2" i="7"/>
  <c r="L18" i="7"/>
  <c r="AG9" i="7"/>
  <c r="K9" i="7" s="1"/>
  <c r="AH13" i="7"/>
  <c r="G13" i="7"/>
  <c r="W13" i="7" s="1"/>
  <c r="AG35" i="7"/>
  <c r="K35" i="7" s="1"/>
  <c r="AD31" i="7"/>
  <c r="L29" i="7"/>
  <c r="L13" i="7"/>
  <c r="O18" i="7"/>
  <c r="I25" i="7"/>
  <c r="R25" i="7"/>
  <c r="S25" i="7"/>
  <c r="U25" i="7"/>
  <c r="M25" i="7"/>
  <c r="N25" i="7"/>
  <c r="O25" i="7"/>
  <c r="Q25" i="7"/>
  <c r="L31" i="7"/>
  <c r="L23" i="7"/>
  <c r="L15" i="7"/>
  <c r="L7" i="7"/>
  <c r="N19" i="7"/>
  <c r="U11" i="7"/>
  <c r="M16" i="7" l="1"/>
  <c r="H2" i="7"/>
  <c r="U14" i="7"/>
  <c r="J16" i="7"/>
  <c r="S23" i="7"/>
  <c r="Q14" i="7"/>
  <c r="S14" i="7"/>
  <c r="P28" i="7"/>
  <c r="O11" i="7"/>
  <c r="N23" i="7"/>
  <c r="I16" i="7"/>
  <c r="Q16" i="7"/>
  <c r="Q23" i="7"/>
  <c r="R16" i="7"/>
  <c r="N16" i="7"/>
  <c r="I28" i="7"/>
  <c r="R23" i="7"/>
  <c r="N14" i="7"/>
  <c r="P11" i="7"/>
  <c r="S11" i="7"/>
  <c r="P20" i="7"/>
  <c r="N37" i="7"/>
  <c r="R14" i="7"/>
  <c r="J14" i="7"/>
  <c r="I14" i="7"/>
  <c r="M3" i="7"/>
  <c r="N34" i="7"/>
  <c r="N15" i="7"/>
  <c r="O26" i="7"/>
  <c r="J23" i="7"/>
  <c r="Q20" i="7"/>
  <c r="H14" i="7"/>
  <c r="O28" i="7"/>
  <c r="J28" i="7"/>
  <c r="O20" i="7"/>
  <c r="I20" i="7"/>
  <c r="M37" i="7"/>
  <c r="S20" i="7"/>
  <c r="N28" i="7"/>
  <c r="I37" i="7"/>
  <c r="H28" i="7"/>
  <c r="M6" i="7"/>
  <c r="Q37" i="7"/>
  <c r="R37" i="7"/>
  <c r="H37" i="7"/>
  <c r="M28" i="7"/>
  <c r="S37" i="7"/>
  <c r="U28" i="7"/>
  <c r="S34" i="7"/>
  <c r="P37" i="7"/>
  <c r="Q28" i="7"/>
  <c r="J37" i="7"/>
  <c r="S32" i="7"/>
  <c r="N11" i="7"/>
  <c r="P34" i="7"/>
  <c r="S28" i="7"/>
  <c r="N22" i="7"/>
  <c r="P27" i="7"/>
  <c r="O34" i="7"/>
  <c r="R28" i="7"/>
  <c r="M20" i="7"/>
  <c r="S26" i="7"/>
  <c r="J7" i="7"/>
  <c r="Q26" i="7"/>
  <c r="R7" i="7"/>
  <c r="N2" i="7"/>
  <c r="H20" i="7"/>
  <c r="Q6" i="7"/>
  <c r="P7" i="7"/>
  <c r="R2" i="7"/>
  <c r="O2" i="7"/>
  <c r="J20" i="7"/>
  <c r="P6" i="7"/>
  <c r="N7" i="7"/>
  <c r="N20" i="7"/>
  <c r="R20" i="7"/>
  <c r="M2" i="7"/>
  <c r="O6" i="7"/>
  <c r="J35" i="7"/>
  <c r="O35" i="7"/>
  <c r="S12" i="7"/>
  <c r="S35" i="7"/>
  <c r="O19" i="7"/>
  <c r="P35" i="7"/>
  <c r="U2" i="7"/>
  <c r="Q2" i="7"/>
  <c r="J32" i="7"/>
  <c r="Q24" i="7"/>
  <c r="S31" i="7"/>
  <c r="O12" i="7"/>
  <c r="O7" i="7"/>
  <c r="H12" i="7"/>
  <c r="W9" i="7"/>
  <c r="H7" i="7"/>
  <c r="H24" i="7"/>
  <c r="H10" i="7"/>
  <c r="Q10" i="7"/>
  <c r="J10" i="7"/>
  <c r="Q19" i="7"/>
  <c r="R33" i="7"/>
  <c r="P2" i="7"/>
  <c r="N10" i="7"/>
  <c r="S21" i="7"/>
  <c r="O30" i="7"/>
  <c r="O24" i="7"/>
  <c r="P12" i="7"/>
  <c r="M7" i="7"/>
  <c r="J12" i="7"/>
  <c r="Q35" i="7"/>
  <c r="H19" i="7"/>
  <c r="M19" i="7"/>
  <c r="U19" i="7"/>
  <c r="I19" i="7"/>
  <c r="R19" i="7"/>
  <c r="N33" i="7"/>
  <c r="S10" i="7"/>
  <c r="N30" i="7"/>
  <c r="J19" i="7"/>
  <c r="M24" i="7"/>
  <c r="S7" i="7"/>
  <c r="I7" i="7"/>
  <c r="H25" i="7"/>
  <c r="S19" i="7"/>
  <c r="U12" i="7"/>
  <c r="S27" i="7"/>
  <c r="R12" i="7"/>
  <c r="U20" i="7"/>
  <c r="M10" i="7"/>
  <c r="M30" i="7"/>
  <c r="N6" i="7"/>
  <c r="Q7" i="7"/>
  <c r="O31" i="7"/>
  <c r="H23" i="7"/>
  <c r="W4" i="7"/>
  <c r="R3" i="7"/>
  <c r="W15" i="7"/>
  <c r="P3" i="7"/>
  <c r="U33" i="7"/>
  <c r="H32" i="7"/>
  <c r="J15" i="7"/>
  <c r="Q3" i="7"/>
  <c r="M11" i="7"/>
  <c r="N35" i="7"/>
  <c r="R26" i="7"/>
  <c r="U4" i="7"/>
  <c r="S33" i="7"/>
  <c r="J31" i="7"/>
  <c r="P22" i="7"/>
  <c r="H4" i="7"/>
  <c r="M18" i="7"/>
  <c r="S9" i="7"/>
  <c r="R15" i="7"/>
  <c r="N12" i="7"/>
  <c r="P29" i="7"/>
  <c r="J6" i="7"/>
  <c r="N26" i="7"/>
  <c r="I32" i="7"/>
  <c r="U5" i="7"/>
  <c r="J22" i="7"/>
  <c r="U3" i="7"/>
  <c r="J33" i="7"/>
  <c r="S3" i="7"/>
  <c r="R4" i="7"/>
  <c r="S22" i="7"/>
  <c r="S5" i="7"/>
  <c r="Q15" i="7"/>
  <c r="M32" i="7"/>
  <c r="S15" i="7"/>
  <c r="O3" i="7"/>
  <c r="I11" i="7"/>
  <c r="I26" i="7"/>
  <c r="O33" i="7"/>
  <c r="O22" i="7"/>
  <c r="J11" i="7"/>
  <c r="M33" i="7"/>
  <c r="I9" i="7"/>
  <c r="P15" i="7"/>
  <c r="Q12" i="7"/>
  <c r="O29" i="7"/>
  <c r="R6" i="7"/>
  <c r="J26" i="7"/>
  <c r="N32" i="7"/>
  <c r="W11" i="7"/>
  <c r="W10" i="7"/>
  <c r="I3" i="7"/>
  <c r="M5" i="7"/>
  <c r="H5" i="7"/>
  <c r="H22" i="7"/>
  <c r="M35" i="7"/>
  <c r="S36" i="7"/>
  <c r="O4" i="7"/>
  <c r="Q33" i="7"/>
  <c r="U32" i="7"/>
  <c r="Q22" i="7"/>
  <c r="P5" i="7"/>
  <c r="H11" i="7"/>
  <c r="J29" i="7"/>
  <c r="U15" i="7"/>
  <c r="I15" i="7"/>
  <c r="M12" i="7"/>
  <c r="S6" i="7"/>
  <c r="I6" i="7"/>
  <c r="H26" i="7"/>
  <c r="M31" i="7"/>
  <c r="J3" i="7"/>
  <c r="P32" i="7"/>
  <c r="W6" i="7"/>
  <c r="U36" i="7"/>
  <c r="H33" i="7"/>
  <c r="M22" i="7"/>
  <c r="M15" i="7"/>
  <c r="H3" i="7"/>
  <c r="Q32" i="7"/>
  <c r="M26" i="7"/>
  <c r="R35" i="7"/>
  <c r="U35" i="7"/>
  <c r="Q11" i="7"/>
  <c r="U26" i="7"/>
  <c r="N36" i="7"/>
  <c r="R22" i="7"/>
  <c r="I22" i="7"/>
  <c r="R5" i="7"/>
  <c r="H9" i="7"/>
  <c r="H15" i="7"/>
  <c r="H6" i="7"/>
  <c r="P26" i="7"/>
  <c r="H35" i="7"/>
  <c r="O32" i="7"/>
  <c r="S17" i="7"/>
  <c r="I21" i="7"/>
  <c r="Q17" i="7"/>
  <c r="P31" i="7"/>
  <c r="N27" i="7"/>
  <c r="S2" i="7"/>
  <c r="U34" i="7"/>
  <c r="Q18" i="7"/>
  <c r="N18" i="7"/>
  <c r="U10" i="7"/>
  <c r="N5" i="7"/>
  <c r="R21" i="7"/>
  <c r="Q30" i="7"/>
  <c r="M9" i="7"/>
  <c r="N24" i="7"/>
  <c r="H18" i="7"/>
  <c r="H31" i="7"/>
  <c r="R29" i="7"/>
  <c r="N31" i="7"/>
  <c r="W3" i="7"/>
  <c r="W17" i="7"/>
  <c r="W22" i="7"/>
  <c r="W18" i="7"/>
  <c r="W20" i="7"/>
  <c r="W21" i="7"/>
  <c r="W19" i="7"/>
  <c r="W16" i="7"/>
  <c r="I33" i="7"/>
  <c r="W31" i="7"/>
  <c r="W32" i="7"/>
  <c r="W33" i="7"/>
  <c r="W30" i="7"/>
  <c r="J21" i="7"/>
  <c r="I17" i="7"/>
  <c r="R36" i="7"/>
  <c r="S4" i="7"/>
  <c r="U24" i="7"/>
  <c r="I24" i="7"/>
  <c r="U31" i="7"/>
  <c r="O27" i="7"/>
  <c r="S18" i="7"/>
  <c r="R34" i="7"/>
  <c r="O36" i="7"/>
  <c r="Q4" i="7"/>
  <c r="H17" i="7"/>
  <c r="N17" i="7"/>
  <c r="I4" i="7"/>
  <c r="J2" i="7"/>
  <c r="H27" i="7"/>
  <c r="R10" i="7"/>
  <c r="M17" i="7"/>
  <c r="Q5" i="7"/>
  <c r="J5" i="7"/>
  <c r="P30" i="7"/>
  <c r="J34" i="7"/>
  <c r="O9" i="7"/>
  <c r="R24" i="7"/>
  <c r="I18" i="7"/>
  <c r="M29" i="7"/>
  <c r="J17" i="7"/>
  <c r="J36" i="7"/>
  <c r="S24" i="7"/>
  <c r="W12" i="7"/>
  <c r="P17" i="7"/>
  <c r="P21" i="7"/>
  <c r="U18" i="7"/>
  <c r="O21" i="7"/>
  <c r="P9" i="7"/>
  <c r="M27" i="7"/>
  <c r="Q36" i="7"/>
  <c r="P18" i="7"/>
  <c r="M34" i="7"/>
  <c r="M36" i="7"/>
  <c r="P4" i="7"/>
  <c r="R17" i="7"/>
  <c r="S29" i="7"/>
  <c r="W5" i="7"/>
  <c r="P10" i="7"/>
  <c r="Q9" i="7"/>
  <c r="I5" i="7"/>
  <c r="N21" i="7"/>
  <c r="H21" i="7"/>
  <c r="N9" i="7"/>
  <c r="Q31" i="7"/>
  <c r="U21" i="7"/>
  <c r="U37" i="7"/>
  <c r="W35" i="7"/>
  <c r="W36" i="7"/>
  <c r="W34" i="7"/>
  <c r="W37" i="7"/>
  <c r="Q27" i="7"/>
  <c r="J27" i="7"/>
  <c r="J4" i="7"/>
  <c r="U30" i="7"/>
  <c r="I31" i="7"/>
  <c r="H36" i="7"/>
  <c r="W24" i="7"/>
  <c r="W28" i="7"/>
  <c r="W25" i="7"/>
  <c r="W26" i="7"/>
  <c r="W27" i="7"/>
  <c r="W23" i="7"/>
  <c r="W29" i="7"/>
  <c r="R27" i="7"/>
  <c r="U27" i="7"/>
  <c r="I27" i="7"/>
  <c r="Q34" i="7"/>
  <c r="H34" i="7"/>
  <c r="P36" i="7"/>
  <c r="M4" i="7"/>
  <c r="N4" i="7"/>
  <c r="U17" i="7"/>
  <c r="Q21" i="7"/>
  <c r="I30" i="7"/>
  <c r="U9" i="7"/>
  <c r="H30" i="7"/>
  <c r="I29" i="7"/>
  <c r="J30" i="7"/>
  <c r="W2" i="7"/>
  <c r="J9" i="7"/>
  <c r="W7" i="7"/>
  <c r="W8" i="7"/>
  <c r="I8" i="7"/>
  <c r="M8" i="7"/>
  <c r="O8" i="7"/>
  <c r="N8" i="7"/>
  <c r="P8" i="7"/>
  <c r="R8" i="7"/>
  <c r="J8" i="7"/>
  <c r="H8" i="7"/>
  <c r="U8" i="7"/>
  <c r="Q8" i="7"/>
  <c r="S8" i="7"/>
  <c r="H13" i="7"/>
  <c r="Q13" i="7"/>
  <c r="I13" i="7"/>
  <c r="M13" i="7"/>
  <c r="N13" i="7"/>
  <c r="U13" i="7"/>
  <c r="S13" i="7"/>
  <c r="P13" i="7"/>
  <c r="R13" i="7"/>
  <c r="J13" i="7"/>
  <c r="O13" i="7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18" i="5"/>
  <c r="AI12" i="5"/>
  <c r="AI13" i="5"/>
  <c r="AI14" i="5"/>
  <c r="AI15" i="5"/>
  <c r="AI16" i="5"/>
  <c r="AI17" i="5"/>
  <c r="AI11" i="5"/>
  <c r="AI3" i="5"/>
  <c r="AI4" i="5"/>
  <c r="AI5" i="5"/>
  <c r="AI6" i="5"/>
  <c r="AI7" i="5"/>
  <c r="AI8" i="5"/>
  <c r="AI9" i="5"/>
  <c r="AI10" i="5"/>
  <c r="AI2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18" i="5"/>
  <c r="Z19" i="5"/>
  <c r="F19" i="5" s="1"/>
  <c r="Z20" i="5"/>
  <c r="F20" i="5" s="1"/>
  <c r="Z21" i="5"/>
  <c r="Z22" i="5"/>
  <c r="F22" i="5" s="1"/>
  <c r="Z23" i="5"/>
  <c r="Z24" i="5"/>
  <c r="F24" i="5" s="1"/>
  <c r="Z25" i="5"/>
  <c r="F25" i="5" s="1"/>
  <c r="Z26" i="5"/>
  <c r="F26" i="5" s="1"/>
  <c r="Z27" i="5"/>
  <c r="F27" i="5" s="1"/>
  <c r="Z28" i="5"/>
  <c r="F28" i="5" s="1"/>
  <c r="Z29" i="5"/>
  <c r="Z30" i="5"/>
  <c r="F30" i="5" s="1"/>
  <c r="Z31" i="5"/>
  <c r="Z32" i="5"/>
  <c r="F32" i="5" s="1"/>
  <c r="Z33" i="5"/>
  <c r="F33" i="5" s="1"/>
  <c r="Z34" i="5"/>
  <c r="F34" i="5" s="1"/>
  <c r="Z35" i="5"/>
  <c r="F35" i="5" s="1"/>
  <c r="Z36" i="5"/>
  <c r="F36" i="5" s="1"/>
  <c r="Z37" i="5"/>
  <c r="Z38" i="5"/>
  <c r="F38" i="5" s="1"/>
  <c r="Z39" i="5"/>
  <c r="Z40" i="5"/>
  <c r="F40" i="5" s="1"/>
  <c r="Z41" i="5"/>
  <c r="F41" i="5" s="1"/>
  <c r="Z42" i="5"/>
  <c r="F42" i="5" s="1"/>
  <c r="Z43" i="5"/>
  <c r="F43" i="5" s="1"/>
  <c r="Z44" i="5"/>
  <c r="F44" i="5" s="1"/>
  <c r="Z45" i="5"/>
  <c r="Z46" i="5"/>
  <c r="F46" i="5" s="1"/>
  <c r="Z47" i="5"/>
  <c r="Z48" i="5"/>
  <c r="F48" i="5" s="1"/>
  <c r="Z49" i="5"/>
  <c r="F49" i="5" s="1"/>
  <c r="Z50" i="5"/>
  <c r="F50" i="5" s="1"/>
  <c r="Z51" i="5"/>
  <c r="F51" i="5" s="1"/>
  <c r="Z52" i="5"/>
  <c r="Z53" i="5"/>
  <c r="Z18" i="5"/>
  <c r="F18" i="5" s="1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18" i="5"/>
  <c r="S3" i="2"/>
  <c r="AB3" i="5"/>
  <c r="AB4" i="5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2" i="5"/>
  <c r="AA17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2" i="5"/>
  <c r="Z3" i="5"/>
  <c r="F3" i="5" s="1"/>
  <c r="Z4" i="5"/>
  <c r="F4" i="5" s="1"/>
  <c r="Z5" i="5"/>
  <c r="F5" i="5" s="1"/>
  <c r="Z6" i="5"/>
  <c r="F6" i="5" s="1"/>
  <c r="Z7" i="5"/>
  <c r="F7" i="5" s="1"/>
  <c r="Z8" i="5"/>
  <c r="F8" i="5" s="1"/>
  <c r="Z9" i="5"/>
  <c r="F9" i="5" s="1"/>
  <c r="Z10" i="5"/>
  <c r="Z11" i="5"/>
  <c r="F11" i="5" s="1"/>
  <c r="Z12" i="5"/>
  <c r="F12" i="5" s="1"/>
  <c r="Z13" i="5"/>
  <c r="F13" i="5" s="1"/>
  <c r="Z14" i="5"/>
  <c r="F14" i="5" s="1"/>
  <c r="Z15" i="5"/>
  <c r="F15" i="5" s="1"/>
  <c r="Z16" i="5"/>
  <c r="F16" i="5" s="1"/>
  <c r="Z17" i="5"/>
  <c r="F17" i="5" s="1"/>
  <c r="Z2" i="5"/>
  <c r="F2" i="5" s="1"/>
  <c r="Y11" i="5"/>
  <c r="Y12" i="5"/>
  <c r="Y13" i="5"/>
  <c r="Y14" i="5"/>
  <c r="Y15" i="5"/>
  <c r="Y16" i="5"/>
  <c r="Y17" i="5"/>
  <c r="Y3" i="5"/>
  <c r="Y4" i="5"/>
  <c r="Y5" i="5"/>
  <c r="Y6" i="5"/>
  <c r="Y7" i="5"/>
  <c r="Y8" i="5"/>
  <c r="Y9" i="5"/>
  <c r="Y10" i="5"/>
  <c r="Y2" i="5"/>
  <c r="AK5" i="5"/>
  <c r="AG20" i="5" l="1"/>
  <c r="K20" i="5" s="1"/>
  <c r="D13" i="5"/>
  <c r="G18" i="5"/>
  <c r="D14" i="5"/>
  <c r="D11" i="5"/>
  <c r="G2" i="5"/>
  <c r="I2" i="5" s="1"/>
  <c r="D15" i="5"/>
  <c r="G44" i="5"/>
  <c r="S44" i="5" s="1"/>
  <c r="AH20" i="5"/>
  <c r="D51" i="5"/>
  <c r="D43" i="5"/>
  <c r="D27" i="5"/>
  <c r="AG9" i="5"/>
  <c r="K9" i="5" s="1"/>
  <c r="F47" i="5"/>
  <c r="V17" i="5"/>
  <c r="V9" i="5"/>
  <c r="F23" i="5"/>
  <c r="D8" i="5"/>
  <c r="V16" i="5"/>
  <c r="V8" i="5"/>
  <c r="D49" i="5"/>
  <c r="D41" i="5"/>
  <c r="D25" i="5"/>
  <c r="F53" i="5"/>
  <c r="F45" i="5"/>
  <c r="F37" i="5"/>
  <c r="F29" i="5"/>
  <c r="F21" i="5"/>
  <c r="AH49" i="5"/>
  <c r="AG41" i="5"/>
  <c r="K41" i="5" s="1"/>
  <c r="AH33" i="5"/>
  <c r="AG25" i="5"/>
  <c r="K25" i="5" s="1"/>
  <c r="F10" i="5"/>
  <c r="F31" i="5"/>
  <c r="D48" i="5"/>
  <c r="D32" i="5"/>
  <c r="F52" i="5"/>
  <c r="F39" i="5"/>
  <c r="D40" i="5"/>
  <c r="D24" i="5"/>
  <c r="D9" i="5"/>
  <c r="D7" i="5"/>
  <c r="D50" i="5"/>
  <c r="D42" i="5"/>
  <c r="D26" i="5"/>
  <c r="AH50" i="5"/>
  <c r="AH42" i="5"/>
  <c r="AH34" i="5"/>
  <c r="AH26" i="5"/>
  <c r="D5" i="5"/>
  <c r="V14" i="5"/>
  <c r="V6" i="5"/>
  <c r="AH52" i="5"/>
  <c r="V13" i="5"/>
  <c r="V5" i="5"/>
  <c r="D19" i="5"/>
  <c r="V31" i="5"/>
  <c r="V38" i="5"/>
  <c r="V4" i="5"/>
  <c r="D33" i="5"/>
  <c r="V53" i="5"/>
  <c r="AG45" i="5"/>
  <c r="K45" i="5" s="1"/>
  <c r="V45" i="5"/>
  <c r="D53" i="5"/>
  <c r="D45" i="5"/>
  <c r="D37" i="5"/>
  <c r="D29" i="5"/>
  <c r="D21" i="5"/>
  <c r="V49" i="5"/>
  <c r="V41" i="5"/>
  <c r="V33" i="5"/>
  <c r="V25" i="5"/>
  <c r="D6" i="5"/>
  <c r="V15" i="5"/>
  <c r="V7" i="5"/>
  <c r="D52" i="5"/>
  <c r="D44" i="5"/>
  <c r="D36" i="5"/>
  <c r="D28" i="5"/>
  <c r="D20" i="5"/>
  <c r="V48" i="5"/>
  <c r="V40" i="5"/>
  <c r="V32" i="5"/>
  <c r="V24" i="5"/>
  <c r="V39" i="5"/>
  <c r="D4" i="5"/>
  <c r="D34" i="5"/>
  <c r="V46" i="5"/>
  <c r="V21" i="5"/>
  <c r="D10" i="5"/>
  <c r="D17" i="5"/>
  <c r="V11" i="5"/>
  <c r="V3" i="5"/>
  <c r="V52" i="5"/>
  <c r="V44" i="5"/>
  <c r="AH36" i="5"/>
  <c r="V36" i="5"/>
  <c r="V28" i="5"/>
  <c r="V20" i="5"/>
  <c r="D12" i="5"/>
  <c r="G35" i="5"/>
  <c r="N35" i="5" s="1"/>
  <c r="D35" i="5"/>
  <c r="V23" i="5"/>
  <c r="V22" i="5"/>
  <c r="D2" i="5"/>
  <c r="V37" i="5"/>
  <c r="D16" i="5"/>
  <c r="V2" i="5"/>
  <c r="V10" i="5"/>
  <c r="D47" i="5"/>
  <c r="D39" i="5"/>
  <c r="D31" i="5"/>
  <c r="D23" i="5"/>
  <c r="V51" i="5"/>
  <c r="V43" i="5"/>
  <c r="V35" i="5"/>
  <c r="V27" i="5"/>
  <c r="V19" i="5"/>
  <c r="V47" i="5"/>
  <c r="V18" i="5"/>
  <c r="V30" i="5"/>
  <c r="D3" i="5"/>
  <c r="V12" i="5"/>
  <c r="V29" i="5"/>
  <c r="D18" i="5"/>
  <c r="D46" i="5"/>
  <c r="D38" i="5"/>
  <c r="D30" i="5"/>
  <c r="D22" i="5"/>
  <c r="V50" i="5"/>
  <c r="V42" i="5"/>
  <c r="V34" i="5"/>
  <c r="V26" i="5"/>
  <c r="G50" i="5"/>
  <c r="R50" i="5" s="1"/>
  <c r="L30" i="5"/>
  <c r="L37" i="5"/>
  <c r="G15" i="5"/>
  <c r="Q15" i="5" s="1"/>
  <c r="AG10" i="5"/>
  <c r="K10" i="5" s="1"/>
  <c r="L10" i="5"/>
  <c r="G48" i="5"/>
  <c r="U48" i="5" s="1"/>
  <c r="G32" i="5"/>
  <c r="L44" i="5"/>
  <c r="G14" i="5"/>
  <c r="O14" i="5" s="1"/>
  <c r="L17" i="5"/>
  <c r="AH44" i="5"/>
  <c r="G47" i="5"/>
  <c r="U47" i="5" s="1"/>
  <c r="G31" i="5"/>
  <c r="U31" i="5" s="1"/>
  <c r="L51" i="5"/>
  <c r="L35" i="5"/>
  <c r="L19" i="5"/>
  <c r="G6" i="5"/>
  <c r="N6" i="5" s="1"/>
  <c r="AH4" i="5"/>
  <c r="AG16" i="5"/>
  <c r="K16" i="5" s="1"/>
  <c r="L16" i="5"/>
  <c r="AG8" i="5"/>
  <c r="K8" i="5" s="1"/>
  <c r="L8" i="5"/>
  <c r="AH41" i="5"/>
  <c r="G46" i="5"/>
  <c r="N46" i="5" s="1"/>
  <c r="G38" i="5"/>
  <c r="O38" i="5" s="1"/>
  <c r="G30" i="5"/>
  <c r="S30" i="5" s="1"/>
  <c r="G22" i="5"/>
  <c r="N22" i="5" s="1"/>
  <c r="L50" i="5"/>
  <c r="L42" i="5"/>
  <c r="L34" i="5"/>
  <c r="L26" i="5"/>
  <c r="L4" i="5"/>
  <c r="G17" i="5"/>
  <c r="G26" i="5"/>
  <c r="R26" i="5" s="1"/>
  <c r="AG18" i="5"/>
  <c r="K18" i="5" s="1"/>
  <c r="L18" i="5"/>
  <c r="L22" i="5"/>
  <c r="L45" i="5"/>
  <c r="G24" i="5"/>
  <c r="S24" i="5" s="1"/>
  <c r="L52" i="5"/>
  <c r="AG28" i="5"/>
  <c r="K28" i="5" s="1"/>
  <c r="L28" i="5"/>
  <c r="G7" i="5"/>
  <c r="R7" i="5" s="1"/>
  <c r="G39" i="5"/>
  <c r="S39" i="5" s="1"/>
  <c r="G23" i="5"/>
  <c r="AH43" i="5"/>
  <c r="L43" i="5"/>
  <c r="L27" i="5"/>
  <c r="G5" i="5"/>
  <c r="O5" i="5" s="1"/>
  <c r="AH11" i="5"/>
  <c r="AG15" i="5"/>
  <c r="K15" i="5" s="1"/>
  <c r="L15" i="5"/>
  <c r="AG7" i="5"/>
  <c r="K7" i="5" s="1"/>
  <c r="L7" i="5"/>
  <c r="AG44" i="5"/>
  <c r="K44" i="5" s="1"/>
  <c r="AH37" i="5"/>
  <c r="G34" i="5"/>
  <c r="P34" i="5" s="1"/>
  <c r="G53" i="5"/>
  <c r="S53" i="5" s="1"/>
  <c r="G45" i="5"/>
  <c r="P45" i="5" s="1"/>
  <c r="G37" i="5"/>
  <c r="U37" i="5" s="1"/>
  <c r="G29" i="5"/>
  <c r="N29" i="5" s="1"/>
  <c r="G21" i="5"/>
  <c r="M21" i="5" s="1"/>
  <c r="AG49" i="5"/>
  <c r="K49" i="5" s="1"/>
  <c r="L49" i="5"/>
  <c r="L41" i="5"/>
  <c r="AG33" i="5"/>
  <c r="K33" i="5" s="1"/>
  <c r="L33" i="5"/>
  <c r="L25" i="5"/>
  <c r="G13" i="5"/>
  <c r="M13" i="5" s="1"/>
  <c r="G42" i="5"/>
  <c r="N42" i="5" s="1"/>
  <c r="L46" i="5"/>
  <c r="G9" i="5"/>
  <c r="M9" i="5" s="1"/>
  <c r="L11" i="5"/>
  <c r="AH3" i="5"/>
  <c r="L3" i="5"/>
  <c r="G25" i="5"/>
  <c r="R25" i="5" s="1"/>
  <c r="AG29" i="5"/>
  <c r="K29" i="5" s="1"/>
  <c r="L29" i="5"/>
  <c r="G40" i="5"/>
  <c r="L20" i="5"/>
  <c r="AG52" i="5"/>
  <c r="K52" i="5" s="1"/>
  <c r="AH10" i="5"/>
  <c r="L6" i="5"/>
  <c r="G20" i="5"/>
  <c r="N20" i="5" s="1"/>
  <c r="L48" i="5"/>
  <c r="L40" i="5"/>
  <c r="L32" i="5"/>
  <c r="L24" i="5"/>
  <c r="L12" i="5"/>
  <c r="L38" i="5"/>
  <c r="G16" i="5"/>
  <c r="Q16" i="5" s="1"/>
  <c r="G49" i="5"/>
  <c r="U49" i="5" s="1"/>
  <c r="G41" i="5"/>
  <c r="AH53" i="5"/>
  <c r="L53" i="5"/>
  <c r="AH21" i="5"/>
  <c r="L21" i="5"/>
  <c r="G8" i="5"/>
  <c r="M8" i="5" s="1"/>
  <c r="AG2" i="5"/>
  <c r="L2" i="5"/>
  <c r="AD2" i="5"/>
  <c r="G10" i="5"/>
  <c r="M10" i="5" s="1"/>
  <c r="L36" i="5"/>
  <c r="L9" i="5"/>
  <c r="G11" i="5"/>
  <c r="M11" i="5" s="1"/>
  <c r="AH17" i="5"/>
  <c r="L14" i="5"/>
  <c r="AG36" i="5"/>
  <c r="K36" i="5" s="1"/>
  <c r="G33" i="5"/>
  <c r="M33" i="5" s="1"/>
  <c r="G52" i="5"/>
  <c r="U52" i="5" s="1"/>
  <c r="G36" i="5"/>
  <c r="M36" i="5" s="1"/>
  <c r="AH13" i="5"/>
  <c r="L13" i="5"/>
  <c r="AH5" i="5"/>
  <c r="L5" i="5"/>
  <c r="AG27" i="5"/>
  <c r="K27" i="5" s="1"/>
  <c r="AH28" i="5"/>
  <c r="G28" i="5"/>
  <c r="Q28" i="5" s="1"/>
  <c r="G51" i="5"/>
  <c r="R51" i="5" s="1"/>
  <c r="G43" i="5"/>
  <c r="G27" i="5"/>
  <c r="S27" i="5" s="1"/>
  <c r="G19" i="5"/>
  <c r="AH51" i="5"/>
  <c r="AG43" i="5"/>
  <c r="K43" i="5" s="1"/>
  <c r="AG35" i="5"/>
  <c r="K35" i="5" s="1"/>
  <c r="AH27" i="5"/>
  <c r="AH19" i="5"/>
  <c r="L47" i="5"/>
  <c r="L39" i="5"/>
  <c r="L31" i="5"/>
  <c r="L23" i="5"/>
  <c r="G4" i="5"/>
  <c r="G3" i="5"/>
  <c r="R3" i="5" s="1"/>
  <c r="U36" i="5"/>
  <c r="S20" i="5"/>
  <c r="U20" i="5"/>
  <c r="N16" i="5"/>
  <c r="S7" i="5"/>
  <c r="N18" i="5"/>
  <c r="S18" i="5"/>
  <c r="R18" i="5"/>
  <c r="Q18" i="5"/>
  <c r="U18" i="5"/>
  <c r="U39" i="5"/>
  <c r="M18" i="5"/>
  <c r="M53" i="5"/>
  <c r="P20" i="5"/>
  <c r="O18" i="5"/>
  <c r="P18" i="5"/>
  <c r="O39" i="5"/>
  <c r="M20" i="5"/>
  <c r="N41" i="5"/>
  <c r="I16" i="5"/>
  <c r="AH15" i="5"/>
  <c r="AG14" i="5"/>
  <c r="K14" i="5" s="1"/>
  <c r="AG51" i="5"/>
  <c r="K51" i="5" s="1"/>
  <c r="AH25" i="5"/>
  <c r="AH45" i="5"/>
  <c r="AG37" i="5"/>
  <c r="K37" i="5" s="1"/>
  <c r="AH29" i="5"/>
  <c r="AG21" i="5"/>
  <c r="K21" i="5" s="1"/>
  <c r="AG13" i="5"/>
  <c r="K13" i="5" s="1"/>
  <c r="AG5" i="5"/>
  <c r="K5" i="5" s="1"/>
  <c r="I20" i="5"/>
  <c r="AG19" i="5"/>
  <c r="K19" i="5" s="1"/>
  <c r="AH35" i="5"/>
  <c r="AH16" i="5"/>
  <c r="AH8" i="5"/>
  <c r="AG17" i="5"/>
  <c r="K17" i="5" s="1"/>
  <c r="I18" i="5"/>
  <c r="AH7" i="5"/>
  <c r="AH2" i="5"/>
  <c r="AG12" i="5"/>
  <c r="K12" i="5" s="1"/>
  <c r="AG4" i="5"/>
  <c r="K4" i="5" s="1"/>
  <c r="AH6" i="5"/>
  <c r="G12" i="5"/>
  <c r="AG11" i="5"/>
  <c r="K11" i="5" s="1"/>
  <c r="AG3" i="5"/>
  <c r="K3" i="5" s="1"/>
  <c r="AH14" i="5"/>
  <c r="AH12" i="5"/>
  <c r="K2" i="5"/>
  <c r="AH9" i="5"/>
  <c r="AG6" i="5"/>
  <c r="K6" i="5" s="1"/>
  <c r="AG53" i="5"/>
  <c r="K53" i="5" s="1"/>
  <c r="AH18" i="5"/>
  <c r="H18" i="5" s="1"/>
  <c r="AG46" i="5"/>
  <c r="AG38" i="5"/>
  <c r="K38" i="5" s="1"/>
  <c r="AG30" i="5"/>
  <c r="K30" i="5" s="1"/>
  <c r="AG22" i="5"/>
  <c r="K22" i="5" s="1"/>
  <c r="AH48" i="5"/>
  <c r="AH40" i="5"/>
  <c r="AH32" i="5"/>
  <c r="AH24" i="5"/>
  <c r="AG47" i="5"/>
  <c r="K47" i="5" s="1"/>
  <c r="AG39" i="5"/>
  <c r="K39" i="5" s="1"/>
  <c r="AG31" i="5"/>
  <c r="K31" i="5" s="1"/>
  <c r="AG23" i="5"/>
  <c r="K23" i="5" s="1"/>
  <c r="AG24" i="5"/>
  <c r="K24" i="5" s="1"/>
  <c r="AH47" i="5"/>
  <c r="AH39" i="5"/>
  <c r="AH31" i="5"/>
  <c r="AH23" i="5"/>
  <c r="AG50" i="5"/>
  <c r="K50" i="5" s="1"/>
  <c r="AG42" i="5"/>
  <c r="K42" i="5" s="1"/>
  <c r="AG34" i="5"/>
  <c r="K34" i="5" s="1"/>
  <c r="AG26" i="5"/>
  <c r="K26" i="5" s="1"/>
  <c r="AH46" i="5"/>
  <c r="AH38" i="5"/>
  <c r="AH30" i="5"/>
  <c r="AH22" i="5"/>
  <c r="AG32" i="5"/>
  <c r="K32" i="5" s="1"/>
  <c r="AG48" i="5"/>
  <c r="K48" i="5" s="1"/>
  <c r="AG40" i="5"/>
  <c r="K40" i="5" s="1"/>
  <c r="H20" i="5"/>
  <c r="AK6" i="5"/>
  <c r="I8" i="5" l="1"/>
  <c r="M40" i="5"/>
  <c r="Q40" i="5"/>
  <c r="H53" i="5"/>
  <c r="O20" i="5"/>
  <c r="U40" i="5"/>
  <c r="S8" i="5"/>
  <c r="U8" i="5"/>
  <c r="O8" i="5"/>
  <c r="Q20" i="5"/>
  <c r="M2" i="5"/>
  <c r="U2" i="5"/>
  <c r="R2" i="5"/>
  <c r="M14" i="5"/>
  <c r="Q2" i="5"/>
  <c r="H2" i="5"/>
  <c r="P2" i="5"/>
  <c r="S2" i="5"/>
  <c r="O2" i="5"/>
  <c r="N2" i="5"/>
  <c r="U14" i="5"/>
  <c r="M51" i="5"/>
  <c r="S14" i="5"/>
  <c r="P14" i="5"/>
  <c r="H44" i="5"/>
  <c r="H26" i="5"/>
  <c r="N14" i="5"/>
  <c r="Q51" i="5"/>
  <c r="P9" i="5"/>
  <c r="Q35" i="5"/>
  <c r="Q14" i="5"/>
  <c r="U51" i="5"/>
  <c r="U26" i="5"/>
  <c r="N44" i="5"/>
  <c r="I14" i="5"/>
  <c r="O6" i="5"/>
  <c r="I44" i="5"/>
  <c r="U6" i="5"/>
  <c r="R14" i="5"/>
  <c r="S26" i="5"/>
  <c r="H14" i="5"/>
  <c r="H30" i="5"/>
  <c r="R44" i="5"/>
  <c r="Q21" i="5"/>
  <c r="U35" i="5"/>
  <c r="U44" i="5"/>
  <c r="Q8" i="5"/>
  <c r="M26" i="5"/>
  <c r="R20" i="5"/>
  <c r="M37" i="5"/>
  <c r="I27" i="5"/>
  <c r="P27" i="5"/>
  <c r="R32" i="5"/>
  <c r="M41" i="5"/>
  <c r="S33" i="5"/>
  <c r="M27" i="5"/>
  <c r="R5" i="5"/>
  <c r="P44" i="5"/>
  <c r="Q44" i="5"/>
  <c r="R41" i="5"/>
  <c r="Q11" i="5"/>
  <c r="M44" i="5"/>
  <c r="O27" i="5"/>
  <c r="N52" i="5"/>
  <c r="Q27" i="5"/>
  <c r="O44" i="5"/>
  <c r="I11" i="5"/>
  <c r="S11" i="5"/>
  <c r="O52" i="5"/>
  <c r="H7" i="5"/>
  <c r="U15" i="5"/>
  <c r="N9" i="5"/>
  <c r="P7" i="5"/>
  <c r="Q9" i="5"/>
  <c r="R15" i="5"/>
  <c r="P33" i="5"/>
  <c r="R8" i="5"/>
  <c r="S9" i="5"/>
  <c r="S36" i="5"/>
  <c r="R37" i="5"/>
  <c r="P52" i="5"/>
  <c r="U7" i="5"/>
  <c r="I52" i="5"/>
  <c r="M7" i="5"/>
  <c r="H52" i="5"/>
  <c r="Q7" i="5"/>
  <c r="R9" i="5"/>
  <c r="S37" i="5"/>
  <c r="N7" i="5"/>
  <c r="O7" i="5"/>
  <c r="I7" i="5"/>
  <c r="O9" i="5"/>
  <c r="S52" i="5"/>
  <c r="Q37" i="5"/>
  <c r="M43" i="5"/>
  <c r="P6" i="5"/>
  <c r="I6" i="5"/>
  <c r="P13" i="5"/>
  <c r="O50" i="5"/>
  <c r="S25" i="5"/>
  <c r="N50" i="5"/>
  <c r="N25" i="5"/>
  <c r="M6" i="5"/>
  <c r="S51" i="5"/>
  <c r="H51" i="5"/>
  <c r="P53" i="5"/>
  <c r="O51" i="5"/>
  <c r="P24" i="5"/>
  <c r="I50" i="5"/>
  <c r="U25" i="5"/>
  <c r="S28" i="5"/>
  <c r="O13" i="5"/>
  <c r="S50" i="5"/>
  <c r="I21" i="5"/>
  <c r="H6" i="5"/>
  <c r="P32" i="5"/>
  <c r="P51" i="5"/>
  <c r="N39" i="5"/>
  <c r="S19" i="5"/>
  <c r="P25" i="5"/>
  <c r="P41" i="5"/>
  <c r="H41" i="5"/>
  <c r="I51" i="5"/>
  <c r="N26" i="5"/>
  <c r="S46" i="5"/>
  <c r="Q53" i="5"/>
  <c r="Q24" i="5"/>
  <c r="Q26" i="5"/>
  <c r="I3" i="5"/>
  <c r="I25" i="5"/>
  <c r="S31" i="5"/>
  <c r="I53" i="5"/>
  <c r="O21" i="5"/>
  <c r="S6" i="5"/>
  <c r="Q31" i="5"/>
  <c r="Q48" i="5"/>
  <c r="I31" i="5"/>
  <c r="I26" i="5"/>
  <c r="N48" i="5"/>
  <c r="O26" i="5"/>
  <c r="I41" i="5"/>
  <c r="U13" i="5"/>
  <c r="S41" i="5"/>
  <c r="U50" i="5"/>
  <c r="I48" i="5"/>
  <c r="I36" i="5"/>
  <c r="M31" i="5"/>
  <c r="O45" i="5"/>
  <c r="N51" i="5"/>
  <c r="O22" i="5"/>
  <c r="N19" i="5"/>
  <c r="O31" i="5"/>
  <c r="M50" i="5"/>
  <c r="U30" i="5"/>
  <c r="Q6" i="5"/>
  <c r="U53" i="5"/>
  <c r="R31" i="5"/>
  <c r="U41" i="5"/>
  <c r="Q50" i="5"/>
  <c r="N21" i="5"/>
  <c r="Q52" i="5"/>
  <c r="R21" i="5"/>
  <c r="R45" i="5"/>
  <c r="I33" i="5"/>
  <c r="Q33" i="5"/>
  <c r="N45" i="5"/>
  <c r="P26" i="5"/>
  <c r="N31" i="5"/>
  <c r="O41" i="5"/>
  <c r="U22" i="5"/>
  <c r="R53" i="5"/>
  <c r="Q41" i="5"/>
  <c r="P21" i="5"/>
  <c r="O48" i="5"/>
  <c r="M48" i="5"/>
  <c r="M34" i="5"/>
  <c r="S21" i="5"/>
  <c r="H50" i="5"/>
  <c r="I46" i="5"/>
  <c r="M23" i="5"/>
  <c r="O53" i="5"/>
  <c r="O30" i="5"/>
  <c r="I19" i="5"/>
  <c r="P31" i="5"/>
  <c r="P50" i="5"/>
  <c r="R6" i="5"/>
  <c r="S13" i="5"/>
  <c r="R43" i="5"/>
  <c r="U21" i="5"/>
  <c r="H21" i="5"/>
  <c r="I45" i="5"/>
  <c r="O32" i="5"/>
  <c r="O19" i="5"/>
  <c r="P39" i="5"/>
  <c r="N28" i="5"/>
  <c r="Q3" i="5"/>
  <c r="Q46" i="5"/>
  <c r="S32" i="5"/>
  <c r="Q19" i="5"/>
  <c r="Q34" i="5"/>
  <c r="I30" i="5"/>
  <c r="I4" i="5"/>
  <c r="P8" i="5"/>
  <c r="P30" i="5"/>
  <c r="O25" i="5"/>
  <c r="P19" i="5"/>
  <c r="O47" i="5"/>
  <c r="U3" i="5"/>
  <c r="R46" i="5"/>
  <c r="Q25" i="5"/>
  <c r="N11" i="5"/>
  <c r="N32" i="5"/>
  <c r="U19" i="5"/>
  <c r="M28" i="5"/>
  <c r="Q36" i="5"/>
  <c r="R11" i="5"/>
  <c r="R34" i="5"/>
  <c r="N53" i="5"/>
  <c r="W51" i="5"/>
  <c r="W52" i="5"/>
  <c r="W53" i="5"/>
  <c r="W50" i="5"/>
  <c r="H11" i="5"/>
  <c r="I17" i="5"/>
  <c r="W7" i="5"/>
  <c r="W15" i="5"/>
  <c r="W8" i="5"/>
  <c r="W16" i="5"/>
  <c r="W9" i="5"/>
  <c r="W17" i="5"/>
  <c r="W10" i="5"/>
  <c r="W2" i="5"/>
  <c r="W3" i="5"/>
  <c r="W11" i="5"/>
  <c r="W4" i="5"/>
  <c r="W12" i="5"/>
  <c r="W5" i="5"/>
  <c r="W13" i="5"/>
  <c r="W6" i="5"/>
  <c r="W14" i="5"/>
  <c r="P3" i="5"/>
  <c r="O46" i="5"/>
  <c r="S3" i="5"/>
  <c r="R24" i="5"/>
  <c r="U34" i="5"/>
  <c r="H28" i="5"/>
  <c r="N30" i="5"/>
  <c r="W27" i="5"/>
  <c r="W28" i="5"/>
  <c r="W29" i="5"/>
  <c r="W30" i="5"/>
  <c r="W25" i="5"/>
  <c r="W26" i="5"/>
  <c r="I43" i="5"/>
  <c r="H8" i="5"/>
  <c r="H25" i="5"/>
  <c r="O3" i="5"/>
  <c r="O34" i="5"/>
  <c r="P35" i="5"/>
  <c r="O28" i="5"/>
  <c r="Q30" i="5"/>
  <c r="R35" i="5"/>
  <c r="S29" i="5"/>
  <c r="N36" i="5"/>
  <c r="Q39" i="5"/>
  <c r="N8" i="5"/>
  <c r="N5" i="5"/>
  <c r="M19" i="5"/>
  <c r="R28" i="5"/>
  <c r="U11" i="5"/>
  <c r="S34" i="5"/>
  <c r="H3" i="5"/>
  <c r="M24" i="5"/>
  <c r="W22" i="5"/>
  <c r="W23" i="5"/>
  <c r="W24" i="5"/>
  <c r="W18" i="5"/>
  <c r="W19" i="5"/>
  <c r="W20" i="5"/>
  <c r="W21" i="5"/>
  <c r="H45" i="5"/>
  <c r="N17" i="5"/>
  <c r="M17" i="5"/>
  <c r="O43" i="5"/>
  <c r="R19" i="5"/>
  <c r="M49" i="5"/>
  <c r="W47" i="5"/>
  <c r="W48" i="5"/>
  <c r="W49" i="5"/>
  <c r="W46" i="5"/>
  <c r="H19" i="5"/>
  <c r="M39" i="5"/>
  <c r="I34" i="5"/>
  <c r="M30" i="5"/>
  <c r="O35" i="5"/>
  <c r="P28" i="5"/>
  <c r="M32" i="5"/>
  <c r="P11" i="5"/>
  <c r="M25" i="5"/>
  <c r="R30" i="5"/>
  <c r="S35" i="5"/>
  <c r="U23" i="5"/>
  <c r="R39" i="5"/>
  <c r="U5" i="5"/>
  <c r="U28" i="5"/>
  <c r="N34" i="5"/>
  <c r="N38" i="5"/>
  <c r="W33" i="5"/>
  <c r="W34" i="5"/>
  <c r="W35" i="5"/>
  <c r="W36" i="5"/>
  <c r="W37" i="5"/>
  <c r="W38" i="5"/>
  <c r="W31" i="5"/>
  <c r="W32" i="5"/>
  <c r="M45" i="5"/>
  <c r="W40" i="5"/>
  <c r="W41" i="5"/>
  <c r="W42" i="5"/>
  <c r="W43" i="5"/>
  <c r="W44" i="5"/>
  <c r="W45" i="5"/>
  <c r="W39" i="5"/>
  <c r="S17" i="5"/>
  <c r="H36" i="5"/>
  <c r="I39" i="5"/>
  <c r="H35" i="5"/>
  <c r="P5" i="5"/>
  <c r="I35" i="5"/>
  <c r="N43" i="5"/>
  <c r="I28" i="5"/>
  <c r="O11" i="5"/>
  <c r="U46" i="5"/>
  <c r="Q32" i="5"/>
  <c r="M35" i="5"/>
  <c r="H5" i="5"/>
  <c r="H43" i="5"/>
  <c r="M4" i="5"/>
  <c r="Q10" i="5"/>
  <c r="Q4" i="5"/>
  <c r="H49" i="5"/>
  <c r="I23" i="5"/>
  <c r="I10" i="5"/>
  <c r="O16" i="5"/>
  <c r="O4" i="5"/>
  <c r="N23" i="5"/>
  <c r="Q22" i="5"/>
  <c r="U42" i="5"/>
  <c r="R17" i="5"/>
  <c r="M29" i="5"/>
  <c r="M15" i="5"/>
  <c r="N40" i="5"/>
  <c r="R4" i="5"/>
  <c r="N27" i="5"/>
  <c r="R52" i="5"/>
  <c r="U45" i="5"/>
  <c r="H4" i="5"/>
  <c r="H10" i="5"/>
  <c r="I22" i="5"/>
  <c r="H38" i="5"/>
  <c r="H32" i="5"/>
  <c r="H9" i="5"/>
  <c r="M5" i="5"/>
  <c r="P40" i="5"/>
  <c r="P16" i="5"/>
  <c r="N24" i="5"/>
  <c r="P46" i="5"/>
  <c r="O24" i="5"/>
  <c r="P42" i="5"/>
  <c r="P4" i="5"/>
  <c r="N15" i="5"/>
  <c r="P47" i="5"/>
  <c r="O33" i="5"/>
  <c r="S22" i="5"/>
  <c r="U38" i="5"/>
  <c r="U17" i="5"/>
  <c r="N13" i="5"/>
  <c r="S47" i="5"/>
  <c r="R13" i="5"/>
  <c r="U24" i="5"/>
  <c r="U32" i="5"/>
  <c r="S48" i="5"/>
  <c r="R10" i="5"/>
  <c r="S16" i="5"/>
  <c r="U9" i="5"/>
  <c r="S5" i="5"/>
  <c r="S4" i="5"/>
  <c r="U43" i="5"/>
  <c r="R36" i="5"/>
  <c r="S45" i="5"/>
  <c r="N49" i="5"/>
  <c r="Q42" i="5"/>
  <c r="O29" i="5"/>
  <c r="O40" i="5"/>
  <c r="Q47" i="5"/>
  <c r="U4" i="5"/>
  <c r="I38" i="5"/>
  <c r="I47" i="5"/>
  <c r="M22" i="5"/>
  <c r="P10" i="5"/>
  <c r="O49" i="5"/>
  <c r="P23" i="5"/>
  <c r="M52" i="5"/>
  <c r="Q38" i="5"/>
  <c r="R42" i="5"/>
  <c r="R29" i="5"/>
  <c r="R40" i="5"/>
  <c r="S10" i="5"/>
  <c r="R16" i="5"/>
  <c r="S43" i="5"/>
  <c r="I13" i="5"/>
  <c r="H33" i="5"/>
  <c r="H37" i="5"/>
  <c r="I49" i="5"/>
  <c r="I5" i="5"/>
  <c r="M47" i="5"/>
  <c r="N33" i="5"/>
  <c r="P37" i="5"/>
  <c r="O10" i="5"/>
  <c r="I9" i="5"/>
  <c r="M46" i="5"/>
  <c r="P49" i="5"/>
  <c r="O17" i="5"/>
  <c r="O23" i="5"/>
  <c r="O15" i="5"/>
  <c r="O36" i="5"/>
  <c r="S38" i="5"/>
  <c r="Q49" i="5"/>
  <c r="S42" i="5"/>
  <c r="R23" i="5"/>
  <c r="Q13" i="5"/>
  <c r="S40" i="5"/>
  <c r="R48" i="5"/>
  <c r="N10" i="5"/>
  <c r="U16" i="5"/>
  <c r="Q5" i="5"/>
  <c r="N4" i="5"/>
  <c r="U27" i="5"/>
  <c r="Q43" i="5"/>
  <c r="U33" i="5"/>
  <c r="Q45" i="5"/>
  <c r="I29" i="5"/>
  <c r="P38" i="5"/>
  <c r="Q17" i="5"/>
  <c r="Q29" i="5"/>
  <c r="H40" i="5"/>
  <c r="I42" i="5"/>
  <c r="O42" i="5"/>
  <c r="Q23" i="5"/>
  <c r="U10" i="5"/>
  <c r="H17" i="5"/>
  <c r="H48" i="5"/>
  <c r="I15" i="5"/>
  <c r="P29" i="5"/>
  <c r="P22" i="5"/>
  <c r="P48" i="5"/>
  <c r="P17" i="5"/>
  <c r="R22" i="5"/>
  <c r="S49" i="5"/>
  <c r="S23" i="5"/>
  <c r="R47" i="5"/>
  <c r="S15" i="5"/>
  <c r="R27" i="5"/>
  <c r="I32" i="5"/>
  <c r="H13" i="5"/>
  <c r="H27" i="5"/>
  <c r="I37" i="5"/>
  <c r="I40" i="5"/>
  <c r="O37" i="5"/>
  <c r="M38" i="5"/>
  <c r="M42" i="5"/>
  <c r="P43" i="5"/>
  <c r="N47" i="5"/>
  <c r="P15" i="5"/>
  <c r="P36" i="5"/>
  <c r="N37" i="5"/>
  <c r="R38" i="5"/>
  <c r="R49" i="5"/>
  <c r="U29" i="5"/>
  <c r="M16" i="5"/>
  <c r="R33" i="5"/>
  <c r="M3" i="5"/>
  <c r="N3" i="5"/>
  <c r="U12" i="5"/>
  <c r="R12" i="5"/>
  <c r="S12" i="5"/>
  <c r="Q12" i="5"/>
  <c r="O12" i="5"/>
  <c r="P12" i="5"/>
  <c r="N12" i="5"/>
  <c r="M12" i="5"/>
  <c r="H12" i="5"/>
  <c r="I12" i="5"/>
  <c r="H24" i="5"/>
  <c r="I24" i="5"/>
  <c r="H16" i="5"/>
  <c r="H34" i="5"/>
  <c r="H29" i="5"/>
  <c r="H42" i="5"/>
  <c r="K46" i="5"/>
  <c r="H39" i="5"/>
  <c r="H22" i="5"/>
  <c r="H31" i="5"/>
  <c r="H23" i="5"/>
  <c r="H47" i="5"/>
  <c r="H15" i="5"/>
  <c r="G2" i="4"/>
  <c r="U2" i="4" s="1"/>
  <c r="E48" i="4"/>
  <c r="V48" i="4" s="1"/>
  <c r="E8" i="4"/>
  <c r="V8" i="4" s="1"/>
  <c r="Q2" i="4" l="1"/>
  <c r="T2" i="4"/>
  <c r="R2" i="4"/>
  <c r="P2" i="4"/>
  <c r="O2" i="4"/>
  <c r="S2" i="4"/>
  <c r="N2" i="4"/>
  <c r="M2" i="4"/>
  <c r="L8" i="4"/>
  <c r="L48" i="4"/>
  <c r="H46" i="5"/>
  <c r="AI5" i="4"/>
  <c r="AI6" i="4" s="1"/>
  <c r="AF48" i="4"/>
  <c r="AE48" i="4"/>
  <c r="AF47" i="4"/>
  <c r="AE47" i="4"/>
  <c r="E47" i="4"/>
  <c r="V47" i="4" s="1"/>
  <c r="AF46" i="4"/>
  <c r="AE46" i="4"/>
  <c r="AF45" i="4"/>
  <c r="AE45" i="4"/>
  <c r="G45" i="4"/>
  <c r="AF44" i="4"/>
  <c r="AE44" i="4"/>
  <c r="E44" i="4"/>
  <c r="V44" i="4" s="1"/>
  <c r="AF43" i="4"/>
  <c r="AE43" i="4"/>
  <c r="E43" i="4"/>
  <c r="V43" i="4" s="1"/>
  <c r="AF42" i="4"/>
  <c r="AE42" i="4"/>
  <c r="E42" i="4"/>
  <c r="V42" i="4" s="1"/>
  <c r="AF41" i="4"/>
  <c r="AE41" i="4"/>
  <c r="E41" i="4"/>
  <c r="V41" i="4" s="1"/>
  <c r="AF40" i="4"/>
  <c r="AE40" i="4"/>
  <c r="E40" i="4"/>
  <c r="V40" i="4" s="1"/>
  <c r="AF39" i="4"/>
  <c r="AE39" i="4"/>
  <c r="E39" i="4"/>
  <c r="V39" i="4" s="1"/>
  <c r="AF38" i="4"/>
  <c r="AE38" i="4"/>
  <c r="E38" i="4"/>
  <c r="V38" i="4" s="1"/>
  <c r="AF37" i="4"/>
  <c r="AE37" i="4"/>
  <c r="G37" i="4"/>
  <c r="AF36" i="4"/>
  <c r="AE36" i="4"/>
  <c r="E36" i="4"/>
  <c r="V36" i="4" s="1"/>
  <c r="AF35" i="4"/>
  <c r="AE35" i="4"/>
  <c r="E35" i="4"/>
  <c r="V35" i="4" s="1"/>
  <c r="AF34" i="4"/>
  <c r="AE34" i="4"/>
  <c r="E34" i="4"/>
  <c r="V34" i="4" s="1"/>
  <c r="AF33" i="4"/>
  <c r="AE33" i="4"/>
  <c r="E33" i="4"/>
  <c r="V33" i="4" s="1"/>
  <c r="AF32" i="4"/>
  <c r="AE32" i="4"/>
  <c r="E32" i="4"/>
  <c r="V32" i="4" s="1"/>
  <c r="AF31" i="4"/>
  <c r="AE31" i="4"/>
  <c r="E31" i="4"/>
  <c r="V31" i="4" s="1"/>
  <c r="AF30" i="4"/>
  <c r="AE30" i="4"/>
  <c r="E30" i="4"/>
  <c r="V30" i="4" s="1"/>
  <c r="AF29" i="4"/>
  <c r="AE29" i="4"/>
  <c r="E29" i="4"/>
  <c r="V29" i="4" s="1"/>
  <c r="AF28" i="4"/>
  <c r="AE28" i="4"/>
  <c r="E28" i="4"/>
  <c r="V28" i="4" s="1"/>
  <c r="AF27" i="4"/>
  <c r="AE27" i="4"/>
  <c r="G27" i="4"/>
  <c r="AF26" i="4"/>
  <c r="AE26" i="4"/>
  <c r="G26" i="4"/>
  <c r="AF25" i="4"/>
  <c r="AE25" i="4"/>
  <c r="G25" i="4"/>
  <c r="AF24" i="4"/>
  <c r="AE24" i="4"/>
  <c r="G24" i="4"/>
  <c r="AF23" i="4"/>
  <c r="AE23" i="4"/>
  <c r="E23" i="4"/>
  <c r="V23" i="4" s="1"/>
  <c r="AF22" i="4"/>
  <c r="AE22" i="4"/>
  <c r="E22" i="4"/>
  <c r="V22" i="4" s="1"/>
  <c r="AF21" i="4"/>
  <c r="AE21" i="4"/>
  <c r="G21" i="4"/>
  <c r="AF20" i="4"/>
  <c r="AE20" i="4"/>
  <c r="G20" i="4"/>
  <c r="AF19" i="4"/>
  <c r="AE19" i="4"/>
  <c r="E19" i="4"/>
  <c r="V19" i="4" s="1"/>
  <c r="AF18" i="4"/>
  <c r="AE18" i="4"/>
  <c r="E18" i="4"/>
  <c r="V18" i="4" s="1"/>
  <c r="AF17" i="4"/>
  <c r="AE17" i="4"/>
  <c r="G17" i="4"/>
  <c r="AF16" i="4"/>
  <c r="AE16" i="4"/>
  <c r="E16" i="4"/>
  <c r="V16" i="4" s="1"/>
  <c r="AF15" i="4"/>
  <c r="AE15" i="4"/>
  <c r="E15" i="4"/>
  <c r="V15" i="4" s="1"/>
  <c r="AF14" i="4"/>
  <c r="AE14" i="4"/>
  <c r="E14" i="4"/>
  <c r="V14" i="4" s="1"/>
  <c r="AF13" i="4"/>
  <c r="AE13" i="4"/>
  <c r="G13" i="4"/>
  <c r="AF12" i="4"/>
  <c r="AE12" i="4"/>
  <c r="G12" i="4"/>
  <c r="AF11" i="4"/>
  <c r="AE11" i="4"/>
  <c r="G11" i="4"/>
  <c r="AF10" i="4"/>
  <c r="AE10" i="4"/>
  <c r="G10" i="4"/>
  <c r="AF9" i="4"/>
  <c r="AE9" i="4"/>
  <c r="G9" i="4"/>
  <c r="AF8" i="4"/>
  <c r="AE8" i="4"/>
  <c r="AF7" i="4"/>
  <c r="AE7" i="4"/>
  <c r="G7" i="4"/>
  <c r="AF6" i="4"/>
  <c r="AE6" i="4"/>
  <c r="G6" i="4"/>
  <c r="AF5" i="4"/>
  <c r="AE5" i="4"/>
  <c r="G5" i="4"/>
  <c r="AF4" i="4"/>
  <c r="AE4" i="4"/>
  <c r="G4" i="4"/>
  <c r="AF3" i="4"/>
  <c r="AE3" i="4"/>
  <c r="G3" i="4"/>
  <c r="AF2" i="4"/>
  <c r="H2" i="4" s="1"/>
  <c r="AE2" i="4"/>
  <c r="K2" i="4" s="1"/>
  <c r="D12" i="1"/>
  <c r="D10" i="1"/>
  <c r="D9" i="1"/>
  <c r="D5" i="1"/>
  <c r="D8" i="1" s="1"/>
  <c r="H7" i="4" l="1"/>
  <c r="H10" i="4"/>
  <c r="H26" i="4"/>
  <c r="H13" i="4"/>
  <c r="H37" i="4"/>
  <c r="H6" i="4"/>
  <c r="H3" i="4"/>
  <c r="H9" i="4"/>
  <c r="H17" i="4"/>
  <c r="H25" i="4"/>
  <c r="H24" i="4"/>
  <c r="H21" i="4"/>
  <c r="H11" i="4"/>
  <c r="H27" i="4"/>
  <c r="J3" i="4"/>
  <c r="W3" i="4"/>
  <c r="P3" i="4"/>
  <c r="O3" i="4"/>
  <c r="U3" i="4"/>
  <c r="Q3" i="4"/>
  <c r="R3" i="4"/>
  <c r="S3" i="4"/>
  <c r="T3" i="4"/>
  <c r="N3" i="4"/>
  <c r="M3" i="4"/>
  <c r="G47" i="4"/>
  <c r="I47" i="4" s="1"/>
  <c r="L47" i="4"/>
  <c r="J5" i="4"/>
  <c r="W5" i="4"/>
  <c r="T5" i="4"/>
  <c r="P5" i="4"/>
  <c r="O5" i="4"/>
  <c r="Q5" i="4"/>
  <c r="U5" i="4"/>
  <c r="R5" i="4"/>
  <c r="S5" i="4"/>
  <c r="M5" i="4"/>
  <c r="N5" i="4"/>
  <c r="I9" i="4"/>
  <c r="W9" i="4"/>
  <c r="R9" i="4"/>
  <c r="U9" i="4"/>
  <c r="T9" i="4"/>
  <c r="S9" i="4"/>
  <c r="Q9" i="4"/>
  <c r="P9" i="4"/>
  <c r="O9" i="4"/>
  <c r="N9" i="4"/>
  <c r="M9" i="4"/>
  <c r="J11" i="4"/>
  <c r="W11" i="4"/>
  <c r="P11" i="4"/>
  <c r="O11" i="4"/>
  <c r="S11" i="4"/>
  <c r="Q11" i="4"/>
  <c r="T11" i="4"/>
  <c r="R11" i="4"/>
  <c r="U11" i="4"/>
  <c r="M11" i="4"/>
  <c r="N11" i="4"/>
  <c r="I13" i="4"/>
  <c r="W13" i="4"/>
  <c r="Q13" i="4"/>
  <c r="O13" i="4"/>
  <c r="R13" i="4"/>
  <c r="P13" i="4"/>
  <c r="U13" i="4"/>
  <c r="T13" i="4"/>
  <c r="S13" i="4"/>
  <c r="M13" i="4"/>
  <c r="N13" i="4"/>
  <c r="L15" i="4"/>
  <c r="W17" i="4"/>
  <c r="R17" i="4"/>
  <c r="S17" i="4"/>
  <c r="U17" i="4"/>
  <c r="T17" i="4"/>
  <c r="Q17" i="4"/>
  <c r="O17" i="4"/>
  <c r="P17" i="4"/>
  <c r="M17" i="4"/>
  <c r="N17" i="4"/>
  <c r="G19" i="4"/>
  <c r="J19" i="4" s="1"/>
  <c r="L19" i="4"/>
  <c r="J21" i="4"/>
  <c r="W21" i="4"/>
  <c r="R21" i="4"/>
  <c r="O21" i="4"/>
  <c r="P21" i="4"/>
  <c r="U21" i="4"/>
  <c r="T21" i="4"/>
  <c r="Q21" i="4"/>
  <c r="S21" i="4"/>
  <c r="N21" i="4"/>
  <c r="M21" i="4"/>
  <c r="L23" i="4"/>
  <c r="I25" i="4"/>
  <c r="W25" i="4"/>
  <c r="R25" i="4"/>
  <c r="T25" i="4"/>
  <c r="U25" i="4"/>
  <c r="S25" i="4"/>
  <c r="Q25" i="4"/>
  <c r="O25" i="4"/>
  <c r="P25" i="4"/>
  <c r="M25" i="4"/>
  <c r="N25" i="4"/>
  <c r="J27" i="4"/>
  <c r="P27" i="4"/>
  <c r="Q27" i="4"/>
  <c r="S27" i="4"/>
  <c r="U27" i="4"/>
  <c r="R27" i="4"/>
  <c r="T27" i="4"/>
  <c r="O27" i="4"/>
  <c r="N27" i="4"/>
  <c r="M27" i="4"/>
  <c r="L29" i="4"/>
  <c r="G31" i="4"/>
  <c r="L31" i="4"/>
  <c r="G33" i="4"/>
  <c r="I33" i="4" s="1"/>
  <c r="L33" i="4"/>
  <c r="L35" i="4"/>
  <c r="W37" i="4"/>
  <c r="O37" i="4"/>
  <c r="P37" i="4"/>
  <c r="Q37" i="4"/>
  <c r="R37" i="4"/>
  <c r="U37" i="4"/>
  <c r="T37" i="4"/>
  <c r="S37" i="4"/>
  <c r="M37" i="4"/>
  <c r="N37" i="4"/>
  <c r="G39" i="4"/>
  <c r="I39" i="4" s="1"/>
  <c r="L39" i="4"/>
  <c r="G41" i="4"/>
  <c r="J41" i="4" s="1"/>
  <c r="L41" i="4"/>
  <c r="L43" i="4"/>
  <c r="I45" i="4"/>
  <c r="W45" i="4"/>
  <c r="O45" i="4"/>
  <c r="P45" i="4"/>
  <c r="R45" i="4"/>
  <c r="U45" i="4"/>
  <c r="T45" i="4"/>
  <c r="Q45" i="4"/>
  <c r="S45" i="4"/>
  <c r="N45" i="4"/>
  <c r="M45" i="4"/>
  <c r="J4" i="4"/>
  <c r="W4" i="4"/>
  <c r="P4" i="4"/>
  <c r="O4" i="4"/>
  <c r="Q4" i="4"/>
  <c r="T4" i="4"/>
  <c r="R4" i="4"/>
  <c r="S4" i="4"/>
  <c r="U4" i="4"/>
  <c r="M4" i="4"/>
  <c r="N4" i="4"/>
  <c r="J6" i="4"/>
  <c r="W6" i="4"/>
  <c r="U6" i="4"/>
  <c r="P6" i="4"/>
  <c r="Q6" i="4"/>
  <c r="T6" i="4"/>
  <c r="O6" i="4"/>
  <c r="S6" i="4"/>
  <c r="R6" i="4"/>
  <c r="N6" i="4"/>
  <c r="M6" i="4"/>
  <c r="J10" i="4"/>
  <c r="W10" i="4"/>
  <c r="Q10" i="4"/>
  <c r="R10" i="4"/>
  <c r="S10" i="4"/>
  <c r="U10" i="4"/>
  <c r="T10" i="4"/>
  <c r="P10" i="4"/>
  <c r="O10" i="4"/>
  <c r="N10" i="4"/>
  <c r="M10" i="4"/>
  <c r="I12" i="4"/>
  <c r="W12" i="4"/>
  <c r="P12" i="4"/>
  <c r="Q12" i="4"/>
  <c r="R12" i="4"/>
  <c r="S12" i="4"/>
  <c r="T12" i="4"/>
  <c r="O12" i="4"/>
  <c r="U12" i="4"/>
  <c r="M12" i="4"/>
  <c r="N12" i="4"/>
  <c r="G14" i="4"/>
  <c r="I14" i="4" s="1"/>
  <c r="L14" i="4"/>
  <c r="L16" i="4"/>
  <c r="L18" i="4"/>
  <c r="I20" i="4"/>
  <c r="W20" i="4"/>
  <c r="O20" i="4"/>
  <c r="S20" i="4"/>
  <c r="P20" i="4"/>
  <c r="Q20" i="4"/>
  <c r="R20" i="4"/>
  <c r="T20" i="4"/>
  <c r="U20" i="4"/>
  <c r="M20" i="4"/>
  <c r="N20" i="4"/>
  <c r="G22" i="4"/>
  <c r="I22" i="4" s="1"/>
  <c r="L22" i="4"/>
  <c r="I24" i="4"/>
  <c r="W24" i="4"/>
  <c r="S24" i="4"/>
  <c r="U24" i="4"/>
  <c r="T24" i="4"/>
  <c r="R24" i="4"/>
  <c r="O24" i="4"/>
  <c r="Q24" i="4"/>
  <c r="P24" i="4"/>
  <c r="N24" i="4"/>
  <c r="M24" i="4"/>
  <c r="Q26" i="4"/>
  <c r="U26" i="4"/>
  <c r="T26" i="4"/>
  <c r="R26" i="4"/>
  <c r="S26" i="4"/>
  <c r="P26" i="4"/>
  <c r="O26" i="4"/>
  <c r="N26" i="4"/>
  <c r="M26" i="4"/>
  <c r="G28" i="4"/>
  <c r="J28" i="4" s="1"/>
  <c r="L28" i="4"/>
  <c r="G30" i="4"/>
  <c r="L30" i="4"/>
  <c r="L32" i="4"/>
  <c r="L34" i="4"/>
  <c r="G36" i="4"/>
  <c r="I36" i="4" s="1"/>
  <c r="L36" i="4"/>
  <c r="L38" i="4"/>
  <c r="L40" i="4"/>
  <c r="L42" i="4"/>
  <c r="G44" i="4"/>
  <c r="I44" i="4" s="1"/>
  <c r="L44" i="4"/>
  <c r="H5" i="4"/>
  <c r="J7" i="4"/>
  <c r="W7" i="4"/>
  <c r="S7" i="4"/>
  <c r="O7" i="4"/>
  <c r="U7" i="4"/>
  <c r="P7" i="4"/>
  <c r="T7" i="4"/>
  <c r="R7" i="4"/>
  <c r="Q7" i="4"/>
  <c r="N7" i="4"/>
  <c r="M7" i="4"/>
  <c r="H20" i="4"/>
  <c r="H12" i="4"/>
  <c r="H4" i="4"/>
  <c r="W2" i="4"/>
  <c r="H45" i="4"/>
  <c r="K27" i="4"/>
  <c r="G34" i="4"/>
  <c r="I34" i="4" s="1"/>
  <c r="G40" i="4"/>
  <c r="K11" i="4"/>
  <c r="G48" i="4"/>
  <c r="G42" i="4"/>
  <c r="I42" i="4" s="1"/>
  <c r="K18" i="4"/>
  <c r="G29" i="4"/>
  <c r="K5" i="4"/>
  <c r="J12" i="4"/>
  <c r="K24" i="4"/>
  <c r="J45" i="4"/>
  <c r="K16" i="4"/>
  <c r="J25" i="4"/>
  <c r="K33" i="4"/>
  <c r="K41" i="4"/>
  <c r="G15" i="4"/>
  <c r="K47" i="4"/>
  <c r="K14" i="4"/>
  <c r="E46" i="4"/>
  <c r="V46" i="4" s="1"/>
  <c r="I7" i="4"/>
  <c r="K38" i="4"/>
  <c r="K35" i="4"/>
  <c r="K23" i="4"/>
  <c r="J24" i="4"/>
  <c r="K30" i="4"/>
  <c r="K44" i="4"/>
  <c r="I30" i="4"/>
  <c r="K7" i="4"/>
  <c r="I17" i="4"/>
  <c r="K19" i="4"/>
  <c r="K28" i="4"/>
  <c r="G32" i="4"/>
  <c r="K36" i="4"/>
  <c r="I37" i="4"/>
  <c r="K39" i="4"/>
  <c r="G43" i="4"/>
  <c r="J2" i="4"/>
  <c r="I4" i="4"/>
  <c r="J9" i="4"/>
  <c r="J13" i="4"/>
  <c r="G16" i="4"/>
  <c r="J17" i="4"/>
  <c r="G18" i="4"/>
  <c r="J20" i="4"/>
  <c r="J22" i="4"/>
  <c r="G23" i="4"/>
  <c r="K25" i="4"/>
  <c r="I26" i="4"/>
  <c r="K31" i="4"/>
  <c r="G35" i="4"/>
  <c r="J37" i="4"/>
  <c r="G38" i="4"/>
  <c r="K42" i="4"/>
  <c r="K45" i="4"/>
  <c r="I2" i="4"/>
  <c r="K12" i="4"/>
  <c r="I3" i="4"/>
  <c r="K9" i="4"/>
  <c r="I10" i="4"/>
  <c r="K13" i="4"/>
  <c r="K15" i="4"/>
  <c r="K20" i="4"/>
  <c r="I21" i="4"/>
  <c r="J26" i="4"/>
  <c r="K4" i="4"/>
  <c r="I6" i="4"/>
  <c r="K26" i="4"/>
  <c r="I27" i="4"/>
  <c r="K29" i="4"/>
  <c r="K40" i="4"/>
  <c r="G8" i="4"/>
  <c r="K17" i="4"/>
  <c r="K22" i="4"/>
  <c r="K34" i="4"/>
  <c r="K37" i="4"/>
  <c r="K48" i="4"/>
  <c r="K3" i="4"/>
  <c r="I5" i="4"/>
  <c r="K8" i="4"/>
  <c r="K10" i="4"/>
  <c r="I11" i="4"/>
  <c r="K21" i="4"/>
  <c r="K32" i="4"/>
  <c r="K43" i="4"/>
  <c r="K6" i="4"/>
  <c r="S58" i="2"/>
  <c r="R58" i="2"/>
  <c r="P58" i="2"/>
  <c r="E58" i="2"/>
  <c r="S57" i="2"/>
  <c r="R57" i="2"/>
  <c r="P57" i="2"/>
  <c r="E57" i="2"/>
  <c r="D57" i="2"/>
  <c r="F57" i="2" s="1"/>
  <c r="S56" i="2"/>
  <c r="R56" i="2"/>
  <c r="P56" i="2"/>
  <c r="E56" i="2"/>
  <c r="D56" i="2"/>
  <c r="F56" i="2" s="1"/>
  <c r="S55" i="2"/>
  <c r="R55" i="2"/>
  <c r="P55" i="2"/>
  <c r="E55" i="2"/>
  <c r="S54" i="2"/>
  <c r="R54" i="2"/>
  <c r="P54" i="2"/>
  <c r="E54" i="2"/>
  <c r="S53" i="2"/>
  <c r="R53" i="2"/>
  <c r="P53" i="2"/>
  <c r="K53" i="2"/>
  <c r="F53" i="2"/>
  <c r="I53" i="2" s="1"/>
  <c r="E53" i="2"/>
  <c r="S52" i="2"/>
  <c r="R52" i="2"/>
  <c r="P52" i="2"/>
  <c r="E52" i="2"/>
  <c r="D52" i="2"/>
  <c r="F52" i="2" s="1"/>
  <c r="S51" i="2"/>
  <c r="R51" i="2"/>
  <c r="P51" i="2"/>
  <c r="E51" i="2"/>
  <c r="D51" i="2"/>
  <c r="K51" i="2" s="1"/>
  <c r="S50" i="2"/>
  <c r="R50" i="2"/>
  <c r="P50" i="2"/>
  <c r="E50" i="2"/>
  <c r="D50" i="2"/>
  <c r="K50" i="2" s="1"/>
  <c r="S49" i="2"/>
  <c r="R49" i="2"/>
  <c r="P49" i="2"/>
  <c r="E49" i="2"/>
  <c r="D49" i="2"/>
  <c r="F49" i="2" s="1"/>
  <c r="S48" i="2"/>
  <c r="R48" i="2"/>
  <c r="P48" i="2"/>
  <c r="E48" i="2"/>
  <c r="D48" i="2"/>
  <c r="K48" i="2" s="1"/>
  <c r="S47" i="2"/>
  <c r="R47" i="2"/>
  <c r="P47" i="2"/>
  <c r="E47" i="2"/>
  <c r="D47" i="2"/>
  <c r="F47" i="2" s="1"/>
  <c r="S46" i="2"/>
  <c r="R46" i="2"/>
  <c r="P46" i="2"/>
  <c r="E46" i="2"/>
  <c r="D46" i="2"/>
  <c r="F46" i="2" s="1"/>
  <c r="S45" i="2"/>
  <c r="R45" i="2"/>
  <c r="P45" i="2"/>
  <c r="K45" i="2"/>
  <c r="F45" i="2"/>
  <c r="I45" i="2" s="1"/>
  <c r="E45" i="2"/>
  <c r="S44" i="2"/>
  <c r="R44" i="2"/>
  <c r="P44" i="2"/>
  <c r="E44" i="2"/>
  <c r="D44" i="2"/>
  <c r="F44" i="2" s="1"/>
  <c r="S43" i="2"/>
  <c r="R43" i="2"/>
  <c r="P43" i="2"/>
  <c r="E43" i="2"/>
  <c r="D43" i="2"/>
  <c r="F43" i="2" s="1"/>
  <c r="S42" i="2"/>
  <c r="R42" i="2"/>
  <c r="P42" i="2"/>
  <c r="E42" i="2"/>
  <c r="D42" i="2"/>
  <c r="F42" i="2" s="1"/>
  <c r="S41" i="2"/>
  <c r="R41" i="2"/>
  <c r="P41" i="2"/>
  <c r="E41" i="2"/>
  <c r="D41" i="2"/>
  <c r="F41" i="2" s="1"/>
  <c r="S40" i="2"/>
  <c r="R40" i="2"/>
  <c r="P40" i="2"/>
  <c r="E40" i="2"/>
  <c r="D40" i="2"/>
  <c r="K40" i="2" s="1"/>
  <c r="S39" i="2"/>
  <c r="R39" i="2"/>
  <c r="P39" i="2"/>
  <c r="E39" i="2"/>
  <c r="D39" i="2"/>
  <c r="K39" i="2" s="1"/>
  <c r="S38" i="2"/>
  <c r="R38" i="2"/>
  <c r="P38" i="2"/>
  <c r="E38" i="2"/>
  <c r="D38" i="2"/>
  <c r="F38" i="2" s="1"/>
  <c r="S37" i="2"/>
  <c r="R37" i="2"/>
  <c r="P37" i="2"/>
  <c r="E37" i="2"/>
  <c r="D37" i="2"/>
  <c r="K37" i="2" s="1"/>
  <c r="S36" i="2"/>
  <c r="R36" i="2"/>
  <c r="P36" i="2"/>
  <c r="E36" i="2"/>
  <c r="D36" i="2"/>
  <c r="F36" i="2" s="1"/>
  <c r="S35" i="2"/>
  <c r="R35" i="2"/>
  <c r="P35" i="2"/>
  <c r="K35" i="2"/>
  <c r="F35" i="2"/>
  <c r="E35" i="2"/>
  <c r="S34" i="2"/>
  <c r="R34" i="2"/>
  <c r="Q34" i="2"/>
  <c r="Q35" i="2" s="1"/>
  <c r="P34" i="2"/>
  <c r="K34" i="2"/>
  <c r="F34" i="2"/>
  <c r="E34" i="2"/>
  <c r="S33" i="2"/>
  <c r="R33" i="2"/>
  <c r="P33" i="2"/>
  <c r="K33" i="2"/>
  <c r="F33" i="2"/>
  <c r="E33" i="2"/>
  <c r="S32" i="2"/>
  <c r="R32" i="2"/>
  <c r="P32" i="2"/>
  <c r="E32" i="2"/>
  <c r="D32" i="2"/>
  <c r="F32" i="2" s="1"/>
  <c r="S31" i="2"/>
  <c r="R31" i="2"/>
  <c r="P31" i="2"/>
  <c r="K31" i="2"/>
  <c r="F31" i="2"/>
  <c r="H31" i="2" s="1"/>
  <c r="E31" i="2"/>
  <c r="S30" i="2"/>
  <c r="R30" i="2"/>
  <c r="P30" i="2"/>
  <c r="E30" i="2"/>
  <c r="D30" i="2"/>
  <c r="F30" i="2" s="1"/>
  <c r="S29" i="2"/>
  <c r="R29" i="2"/>
  <c r="P29" i="2"/>
  <c r="E29" i="2"/>
  <c r="D29" i="2"/>
  <c r="K29" i="2" s="1"/>
  <c r="S28" i="2"/>
  <c r="R28" i="2"/>
  <c r="P28" i="2"/>
  <c r="K28" i="2"/>
  <c r="F28" i="2"/>
  <c r="E28" i="2"/>
  <c r="S27" i="2"/>
  <c r="R27" i="2"/>
  <c r="P27" i="2"/>
  <c r="K27" i="2"/>
  <c r="F27" i="2"/>
  <c r="H27" i="2" s="1"/>
  <c r="E27" i="2"/>
  <c r="S26" i="2"/>
  <c r="R26" i="2"/>
  <c r="P26" i="2"/>
  <c r="E26" i="2"/>
  <c r="D26" i="2"/>
  <c r="F26" i="2" s="1"/>
  <c r="S25" i="2"/>
  <c r="R25" i="2"/>
  <c r="P25" i="2"/>
  <c r="E25" i="2"/>
  <c r="D25" i="2"/>
  <c r="K25" i="2" s="1"/>
  <c r="S24" i="2"/>
  <c r="R24" i="2"/>
  <c r="Q24" i="2"/>
  <c r="Q25" i="2" s="1"/>
  <c r="Q26" i="2" s="1"/>
  <c r="Q27" i="2" s="1"/>
  <c r="P24" i="2"/>
  <c r="E24" i="2"/>
  <c r="D24" i="2"/>
  <c r="F24" i="2" s="1"/>
  <c r="S23" i="2"/>
  <c r="R23" i="2"/>
  <c r="P23" i="2"/>
  <c r="K23" i="2"/>
  <c r="F23" i="2"/>
  <c r="I23" i="2" s="1"/>
  <c r="E23" i="2"/>
  <c r="S22" i="2"/>
  <c r="R22" i="2"/>
  <c r="P22" i="2"/>
  <c r="K22" i="2"/>
  <c r="F22" i="2"/>
  <c r="I22" i="2" s="1"/>
  <c r="E22" i="2"/>
  <c r="S21" i="2"/>
  <c r="R21" i="2"/>
  <c r="P21" i="2"/>
  <c r="E21" i="2"/>
  <c r="D21" i="2"/>
  <c r="F21" i="2" s="1"/>
  <c r="S20" i="2"/>
  <c r="R20" i="2"/>
  <c r="P20" i="2"/>
  <c r="E20" i="2"/>
  <c r="D20" i="2"/>
  <c r="F20" i="2" s="1"/>
  <c r="S19" i="2"/>
  <c r="R19" i="2"/>
  <c r="P19" i="2"/>
  <c r="E19" i="2"/>
  <c r="D19" i="2"/>
  <c r="F19" i="2" s="1"/>
  <c r="S18" i="2"/>
  <c r="R18" i="2"/>
  <c r="P18" i="2"/>
  <c r="K18" i="2"/>
  <c r="F18" i="2"/>
  <c r="E18" i="2"/>
  <c r="S17" i="2"/>
  <c r="R17" i="2"/>
  <c r="P17" i="2"/>
  <c r="K17" i="2"/>
  <c r="F17" i="2"/>
  <c r="I17" i="2" s="1"/>
  <c r="E17" i="2"/>
  <c r="S16" i="2"/>
  <c r="R16" i="2"/>
  <c r="P16" i="2"/>
  <c r="K16" i="2"/>
  <c r="F16" i="2"/>
  <c r="E16" i="2"/>
  <c r="S15" i="2"/>
  <c r="R15" i="2"/>
  <c r="P15" i="2"/>
  <c r="E15" i="2"/>
  <c r="D15" i="2"/>
  <c r="K15" i="2" s="1"/>
  <c r="S14" i="2"/>
  <c r="R14" i="2"/>
  <c r="P14" i="2"/>
  <c r="K14" i="2"/>
  <c r="F14" i="2"/>
  <c r="H14" i="2" s="1"/>
  <c r="E14" i="2"/>
  <c r="S13" i="2"/>
  <c r="R13" i="2"/>
  <c r="P13" i="2"/>
  <c r="K13" i="2"/>
  <c r="F13" i="2"/>
  <c r="E13" i="2"/>
  <c r="S12" i="2"/>
  <c r="R12" i="2"/>
  <c r="P12" i="2"/>
  <c r="E12" i="2"/>
  <c r="D12" i="2"/>
  <c r="K12" i="2" s="1"/>
  <c r="S11" i="2"/>
  <c r="R11" i="2"/>
  <c r="P11" i="2"/>
  <c r="K11" i="2"/>
  <c r="F11" i="2"/>
  <c r="E11" i="2"/>
  <c r="S10" i="2"/>
  <c r="R10" i="2"/>
  <c r="P10" i="2"/>
  <c r="K10" i="2"/>
  <c r="F10" i="2"/>
  <c r="H10" i="2" s="1"/>
  <c r="E10" i="2"/>
  <c r="S9" i="2"/>
  <c r="R9" i="2"/>
  <c r="P9" i="2"/>
  <c r="E9" i="2"/>
  <c r="D9" i="2"/>
  <c r="F9" i="2" s="1"/>
  <c r="S8" i="2"/>
  <c r="R8" i="2"/>
  <c r="P8" i="2"/>
  <c r="E8" i="2"/>
  <c r="D8" i="2"/>
  <c r="F8" i="2" s="1"/>
  <c r="V6" i="2"/>
  <c r="V7" i="2" s="1"/>
  <c r="S7" i="2"/>
  <c r="R7" i="2"/>
  <c r="P7" i="2"/>
  <c r="K7" i="2"/>
  <c r="F7" i="2"/>
  <c r="E7" i="2"/>
  <c r="S6" i="2"/>
  <c r="R6" i="2"/>
  <c r="P6" i="2"/>
  <c r="K6" i="2"/>
  <c r="F6" i="2"/>
  <c r="H6" i="2" s="1"/>
  <c r="E6" i="2"/>
  <c r="S5" i="2"/>
  <c r="R5" i="2"/>
  <c r="P5" i="2"/>
  <c r="K5" i="2"/>
  <c r="F5" i="2"/>
  <c r="E5" i="2"/>
  <c r="S4" i="2"/>
  <c r="R4" i="2"/>
  <c r="Q4" i="2"/>
  <c r="Q5" i="2" s="1"/>
  <c r="Q6" i="2" s="1"/>
  <c r="P4" i="2"/>
  <c r="K4" i="2"/>
  <c r="F4" i="2"/>
  <c r="E4" i="2"/>
  <c r="R3" i="2"/>
  <c r="P3" i="2"/>
  <c r="K3" i="2"/>
  <c r="F3" i="2"/>
  <c r="E3" i="2"/>
  <c r="G10" i="1"/>
  <c r="J39" i="4" l="1"/>
  <c r="J51" i="2"/>
  <c r="K47" i="2"/>
  <c r="F50" i="2"/>
  <c r="I50" i="2" s="1"/>
  <c r="J14" i="4"/>
  <c r="F15" i="2"/>
  <c r="G15" i="2" s="1"/>
  <c r="K32" i="2"/>
  <c r="F39" i="2"/>
  <c r="H39" i="2" s="1"/>
  <c r="G18" i="2"/>
  <c r="J44" i="4"/>
  <c r="I19" i="4"/>
  <c r="G45" i="2"/>
  <c r="H45" i="2"/>
  <c r="K26" i="2"/>
  <c r="I28" i="4"/>
  <c r="I34" i="2"/>
  <c r="G3" i="2"/>
  <c r="H3" i="2"/>
  <c r="G5" i="2"/>
  <c r="G50" i="2"/>
  <c r="J5" i="2"/>
  <c r="J33" i="2"/>
  <c r="G13" i="2"/>
  <c r="G32" i="2"/>
  <c r="I3" i="2"/>
  <c r="J41" i="2"/>
  <c r="K9" i="2"/>
  <c r="G27" i="2"/>
  <c r="F40" i="2"/>
  <c r="I40" i="2" s="1"/>
  <c r="K41" i="2"/>
  <c r="J52" i="2"/>
  <c r="D55" i="2"/>
  <c r="F55" i="2" s="1"/>
  <c r="I55" i="2" s="1"/>
  <c r="I41" i="4"/>
  <c r="K56" i="2"/>
  <c r="K8" i="2"/>
  <c r="F51" i="2"/>
  <c r="I51" i="2" s="1"/>
  <c r="K52" i="2"/>
  <c r="J33" i="4"/>
  <c r="G6" i="2"/>
  <c r="J26" i="2"/>
  <c r="W23" i="4"/>
  <c r="S23" i="4"/>
  <c r="O23" i="4"/>
  <c r="P23" i="4"/>
  <c r="U23" i="4"/>
  <c r="T23" i="4"/>
  <c r="Q23" i="4"/>
  <c r="R23" i="4"/>
  <c r="M23" i="4"/>
  <c r="N23" i="4"/>
  <c r="H23" i="4"/>
  <c r="W38" i="4"/>
  <c r="U38" i="4"/>
  <c r="T38" i="4"/>
  <c r="P38" i="4"/>
  <c r="Q38" i="4"/>
  <c r="O38" i="4"/>
  <c r="S38" i="4"/>
  <c r="R38" i="4"/>
  <c r="N38" i="4"/>
  <c r="M38" i="4"/>
  <c r="H38" i="4"/>
  <c r="W35" i="4"/>
  <c r="P35" i="4"/>
  <c r="S35" i="4"/>
  <c r="T35" i="4"/>
  <c r="Q35" i="4"/>
  <c r="R35" i="4"/>
  <c r="O35" i="4"/>
  <c r="U35" i="4"/>
  <c r="M35" i="4"/>
  <c r="N35" i="4"/>
  <c r="H35" i="4"/>
  <c r="I15" i="4"/>
  <c r="W15" i="4"/>
  <c r="S15" i="4"/>
  <c r="U15" i="4"/>
  <c r="T15" i="4"/>
  <c r="O15" i="4"/>
  <c r="P15" i="4"/>
  <c r="Q15" i="4"/>
  <c r="R15" i="4"/>
  <c r="M15" i="4"/>
  <c r="N15" i="4"/>
  <c r="H15" i="4"/>
  <c r="J34" i="4"/>
  <c r="W34" i="4"/>
  <c r="Q34" i="4"/>
  <c r="R34" i="4"/>
  <c r="U34" i="4"/>
  <c r="S34" i="4"/>
  <c r="T34" i="4"/>
  <c r="P34" i="4"/>
  <c r="O34" i="4"/>
  <c r="M34" i="4"/>
  <c r="N34" i="4"/>
  <c r="H34" i="4"/>
  <c r="W39" i="4"/>
  <c r="S39" i="4"/>
  <c r="U39" i="4"/>
  <c r="T39" i="4"/>
  <c r="O39" i="4"/>
  <c r="P39" i="4"/>
  <c r="Q39" i="4"/>
  <c r="R39" i="4"/>
  <c r="N39" i="4"/>
  <c r="M39" i="4"/>
  <c r="H39" i="4"/>
  <c r="W31" i="4"/>
  <c r="S31" i="4"/>
  <c r="U31" i="4"/>
  <c r="T31" i="4"/>
  <c r="O31" i="4"/>
  <c r="P31" i="4"/>
  <c r="R31" i="4"/>
  <c r="Q31" i="4"/>
  <c r="N31" i="4"/>
  <c r="M31" i="4"/>
  <c r="H31" i="4"/>
  <c r="W32" i="4"/>
  <c r="S32" i="4"/>
  <c r="O32" i="4"/>
  <c r="U32" i="4"/>
  <c r="T32" i="4"/>
  <c r="R32" i="4"/>
  <c r="P32" i="4"/>
  <c r="Q32" i="4"/>
  <c r="M32" i="4"/>
  <c r="N32" i="4"/>
  <c r="H32" i="4"/>
  <c r="I31" i="4"/>
  <c r="J47" i="4"/>
  <c r="W28" i="4"/>
  <c r="R28" i="4"/>
  <c r="P28" i="4"/>
  <c r="Q28" i="4"/>
  <c r="O28" i="4"/>
  <c r="U28" i="4"/>
  <c r="S28" i="4"/>
  <c r="T28" i="4"/>
  <c r="M28" i="4"/>
  <c r="N28" i="4"/>
  <c r="H28" i="4"/>
  <c r="W16" i="4"/>
  <c r="S16" i="4"/>
  <c r="U16" i="4"/>
  <c r="T16" i="4"/>
  <c r="O16" i="4"/>
  <c r="R16" i="4"/>
  <c r="P16" i="4"/>
  <c r="Q16" i="4"/>
  <c r="M16" i="4"/>
  <c r="N16" i="4"/>
  <c r="H16" i="4"/>
  <c r="W14" i="4"/>
  <c r="U14" i="4"/>
  <c r="T14" i="4"/>
  <c r="P14" i="4"/>
  <c r="O14" i="4"/>
  <c r="S14" i="4"/>
  <c r="Q14" i="4"/>
  <c r="R14" i="4"/>
  <c r="M14" i="4"/>
  <c r="N14" i="4"/>
  <c r="H14" i="4"/>
  <c r="W19" i="4"/>
  <c r="P19" i="4"/>
  <c r="Q19" i="4"/>
  <c r="R19" i="4"/>
  <c r="U19" i="4"/>
  <c r="O19" i="4"/>
  <c r="S19" i="4"/>
  <c r="T19" i="4"/>
  <c r="M19" i="4"/>
  <c r="N19" i="4"/>
  <c r="H19" i="4"/>
  <c r="H8" i="4"/>
  <c r="W8" i="4"/>
  <c r="S8" i="4"/>
  <c r="U8" i="4"/>
  <c r="T8" i="4"/>
  <c r="R8" i="4"/>
  <c r="P8" i="4"/>
  <c r="Q8" i="4"/>
  <c r="O8" i="4"/>
  <c r="M8" i="4"/>
  <c r="N8" i="4"/>
  <c r="J31" i="4"/>
  <c r="L46" i="4"/>
  <c r="H48" i="4"/>
  <c r="W48" i="4"/>
  <c r="S48" i="4"/>
  <c r="U48" i="4"/>
  <c r="T48" i="4"/>
  <c r="O48" i="4"/>
  <c r="R48" i="4"/>
  <c r="Q48" i="4"/>
  <c r="P48" i="4"/>
  <c r="M48" i="4"/>
  <c r="N48" i="4"/>
  <c r="W44" i="4"/>
  <c r="P44" i="4"/>
  <c r="Q44" i="4"/>
  <c r="R44" i="4"/>
  <c r="O44" i="4"/>
  <c r="T44" i="4"/>
  <c r="S44" i="4"/>
  <c r="U44" i="4"/>
  <c r="M44" i="4"/>
  <c r="N44" i="4"/>
  <c r="H44" i="4"/>
  <c r="W30" i="4"/>
  <c r="U30" i="4"/>
  <c r="T30" i="4"/>
  <c r="O30" i="4"/>
  <c r="Q30" i="4"/>
  <c r="S30" i="4"/>
  <c r="P30" i="4"/>
  <c r="R30" i="4"/>
  <c r="M30" i="4"/>
  <c r="N30" i="4"/>
  <c r="H30" i="4"/>
  <c r="W41" i="4"/>
  <c r="R41" i="4"/>
  <c r="U41" i="4"/>
  <c r="S41" i="4"/>
  <c r="T41" i="4"/>
  <c r="Q41" i="4"/>
  <c r="P41" i="4"/>
  <c r="O41" i="4"/>
  <c r="M41" i="4"/>
  <c r="N41" i="4"/>
  <c r="H41" i="4"/>
  <c r="J29" i="4"/>
  <c r="W29" i="4"/>
  <c r="O29" i="4"/>
  <c r="P29" i="4"/>
  <c r="Q29" i="4"/>
  <c r="U29" i="4"/>
  <c r="T29" i="4"/>
  <c r="R29" i="4"/>
  <c r="S29" i="4"/>
  <c r="M29" i="4"/>
  <c r="N29" i="4"/>
  <c r="H29" i="4"/>
  <c r="W42" i="4"/>
  <c r="Q42" i="4"/>
  <c r="S42" i="4"/>
  <c r="R42" i="4"/>
  <c r="T42" i="4"/>
  <c r="P42" i="4"/>
  <c r="U42" i="4"/>
  <c r="O42" i="4"/>
  <c r="M42" i="4"/>
  <c r="N42" i="4"/>
  <c r="H42" i="4"/>
  <c r="W47" i="4"/>
  <c r="S47" i="4"/>
  <c r="U47" i="4"/>
  <c r="T47" i="4"/>
  <c r="P47" i="4"/>
  <c r="O47" i="4"/>
  <c r="Q47" i="4"/>
  <c r="R47" i="4"/>
  <c r="M47" i="4"/>
  <c r="N47" i="4"/>
  <c r="H47" i="4"/>
  <c r="W43" i="4"/>
  <c r="P43" i="4"/>
  <c r="U43" i="4"/>
  <c r="Q43" i="4"/>
  <c r="R43" i="4"/>
  <c r="T43" i="4"/>
  <c r="S43" i="4"/>
  <c r="O43" i="4"/>
  <c r="N43" i="4"/>
  <c r="M43" i="4"/>
  <c r="H43" i="4"/>
  <c r="W36" i="4"/>
  <c r="O36" i="4"/>
  <c r="P36" i="4"/>
  <c r="Q36" i="4"/>
  <c r="R36" i="4"/>
  <c r="S36" i="4"/>
  <c r="U36" i="4"/>
  <c r="T36" i="4"/>
  <c r="M36" i="4"/>
  <c r="N36" i="4"/>
  <c r="H36" i="4"/>
  <c r="W18" i="4"/>
  <c r="Q18" i="4"/>
  <c r="R18" i="4"/>
  <c r="S18" i="4"/>
  <c r="P18" i="4"/>
  <c r="U18" i="4"/>
  <c r="T18" i="4"/>
  <c r="O18" i="4"/>
  <c r="M18" i="4"/>
  <c r="N18" i="4"/>
  <c r="H18" i="4"/>
  <c r="J30" i="4"/>
  <c r="J36" i="4"/>
  <c r="J40" i="4"/>
  <c r="W40" i="4"/>
  <c r="O40" i="4"/>
  <c r="S40" i="4"/>
  <c r="U40" i="4"/>
  <c r="T40" i="4"/>
  <c r="R40" i="4"/>
  <c r="P40" i="4"/>
  <c r="Q40" i="4"/>
  <c r="M40" i="4"/>
  <c r="N40" i="4"/>
  <c r="H40" i="4"/>
  <c r="W22" i="4"/>
  <c r="U22" i="4"/>
  <c r="T22" i="4"/>
  <c r="O22" i="4"/>
  <c r="Q22" i="4"/>
  <c r="P22" i="4"/>
  <c r="S22" i="4"/>
  <c r="R22" i="4"/>
  <c r="M22" i="4"/>
  <c r="N22" i="4"/>
  <c r="H22" i="4"/>
  <c r="W33" i="4"/>
  <c r="R33" i="4"/>
  <c r="S33" i="4"/>
  <c r="T33" i="4"/>
  <c r="U33" i="4"/>
  <c r="Q33" i="4"/>
  <c r="P33" i="4"/>
  <c r="O33" i="4"/>
  <c r="M33" i="4"/>
  <c r="N33" i="4"/>
  <c r="H33" i="4"/>
  <c r="I48" i="4"/>
  <c r="J48" i="4"/>
  <c r="I29" i="4"/>
  <c r="J42" i="4"/>
  <c r="I40" i="4"/>
  <c r="G46" i="4"/>
  <c r="K46" i="4"/>
  <c r="J15" i="4"/>
  <c r="J8" i="4"/>
  <c r="I8" i="4"/>
  <c r="J23" i="4"/>
  <c r="I23" i="4"/>
  <c r="J16" i="4"/>
  <c r="I16" i="4"/>
  <c r="I32" i="4"/>
  <c r="J32" i="4"/>
  <c r="J35" i="4"/>
  <c r="I35" i="4"/>
  <c r="J18" i="4"/>
  <c r="I18" i="4"/>
  <c r="J43" i="4"/>
  <c r="I43" i="4"/>
  <c r="J38" i="4"/>
  <c r="I38" i="4"/>
  <c r="I56" i="2"/>
  <c r="H56" i="2"/>
  <c r="G56" i="2"/>
  <c r="H50" i="2"/>
  <c r="F12" i="2"/>
  <c r="F25" i="2"/>
  <c r="G25" i="2" s="1"/>
  <c r="G33" i="2"/>
  <c r="G34" i="2"/>
  <c r="G53" i="2"/>
  <c r="I4" i="2"/>
  <c r="H5" i="2"/>
  <c r="I14" i="2"/>
  <c r="H33" i="2"/>
  <c r="H34" i="2"/>
  <c r="G35" i="2"/>
  <c r="K36" i="2"/>
  <c r="K42" i="2"/>
  <c r="H53" i="2"/>
  <c r="K19" i="2"/>
  <c r="G22" i="2"/>
  <c r="K24" i="2"/>
  <c r="K38" i="2"/>
  <c r="G31" i="2"/>
  <c r="J24" i="2"/>
  <c r="J18" i="2"/>
  <c r="H22" i="2"/>
  <c r="F48" i="2"/>
  <c r="G48" i="2" s="1"/>
  <c r="H18" i="2"/>
  <c r="K44" i="2"/>
  <c r="K49" i="2"/>
  <c r="G14" i="2"/>
  <c r="G10" i="2"/>
  <c r="J9" i="2"/>
  <c r="G16" i="2"/>
  <c r="K21" i="2"/>
  <c r="F29" i="2"/>
  <c r="F37" i="2"/>
  <c r="H37" i="2" s="1"/>
  <c r="D54" i="2"/>
  <c r="G41" i="2"/>
  <c r="I41" i="2"/>
  <c r="H41" i="2"/>
  <c r="G24" i="2"/>
  <c r="I24" i="2"/>
  <c r="H24" i="2"/>
  <c r="H30" i="2"/>
  <c r="G30" i="2"/>
  <c r="I20" i="2"/>
  <c r="H20" i="2"/>
  <c r="G20" i="2"/>
  <c r="G26" i="2"/>
  <c r="I26" i="2"/>
  <c r="H26" i="2"/>
  <c r="G52" i="2"/>
  <c r="I52" i="2"/>
  <c r="H52" i="2"/>
  <c r="I46" i="2"/>
  <c r="H46" i="2"/>
  <c r="G46" i="2"/>
  <c r="I19" i="2"/>
  <c r="H19" i="2"/>
  <c r="G19" i="2"/>
  <c r="I44" i="2"/>
  <c r="H44" i="2"/>
  <c r="G44" i="2"/>
  <c r="H49" i="2"/>
  <c r="G49" i="2"/>
  <c r="I49" i="2"/>
  <c r="H38" i="2"/>
  <c r="G38" i="2"/>
  <c r="I38" i="2"/>
  <c r="I6" i="2"/>
  <c r="Q7" i="2"/>
  <c r="Q8" i="2" s="1"/>
  <c r="Q9" i="2" s="1"/>
  <c r="Q10" i="2" s="1"/>
  <c r="G9" i="2"/>
  <c r="H9" i="2"/>
  <c r="I21" i="2"/>
  <c r="H21" i="2"/>
  <c r="G21" i="2"/>
  <c r="I43" i="2"/>
  <c r="H43" i="2"/>
  <c r="G43" i="2"/>
  <c r="G8" i="2"/>
  <c r="H8" i="2"/>
  <c r="I47" i="2"/>
  <c r="H47" i="2"/>
  <c r="G47" i="2"/>
  <c r="I27" i="2"/>
  <c r="Q28" i="2"/>
  <c r="Q29" i="2" s="1"/>
  <c r="I36" i="2"/>
  <c r="H36" i="2"/>
  <c r="G36" i="2"/>
  <c r="I42" i="2"/>
  <c r="H42" i="2"/>
  <c r="G42" i="2"/>
  <c r="I57" i="2"/>
  <c r="H57" i="2"/>
  <c r="G57" i="2"/>
  <c r="J7" i="2"/>
  <c r="J11" i="2"/>
  <c r="J17" i="2"/>
  <c r="J20" i="2"/>
  <c r="J28" i="2"/>
  <c r="J30" i="2"/>
  <c r="J43" i="2"/>
  <c r="J46" i="2"/>
  <c r="J57" i="2"/>
  <c r="I5" i="2"/>
  <c r="J14" i="2"/>
  <c r="I18" i="2"/>
  <c r="K20" i="2"/>
  <c r="K30" i="2"/>
  <c r="I33" i="2"/>
  <c r="J38" i="2"/>
  <c r="K43" i="2"/>
  <c r="K46" i="2"/>
  <c r="J49" i="2"/>
  <c r="K57" i="2"/>
  <c r="J44" i="2"/>
  <c r="J47" i="2"/>
  <c r="G4" i="2"/>
  <c r="H16" i="2"/>
  <c r="J29" i="2"/>
  <c r="J34" i="2"/>
  <c r="J50" i="2"/>
  <c r="J53" i="2"/>
  <c r="J3" i="2"/>
  <c r="H4" i="2"/>
  <c r="J6" i="2"/>
  <c r="G7" i="2"/>
  <c r="J8" i="2"/>
  <c r="J10" i="2"/>
  <c r="G11" i="2"/>
  <c r="H13" i="2"/>
  <c r="I16" i="2"/>
  <c r="G17" i="2"/>
  <c r="J19" i="2"/>
  <c r="J22" i="2"/>
  <c r="H23" i="2"/>
  <c r="J27" i="2"/>
  <c r="G28" i="2"/>
  <c r="H32" i="2"/>
  <c r="H35" i="2"/>
  <c r="J42" i="2"/>
  <c r="J45" i="2"/>
  <c r="J56" i="2"/>
  <c r="D58" i="2"/>
  <c r="J31" i="2"/>
  <c r="J36" i="2"/>
  <c r="J12" i="2"/>
  <c r="G23" i="2"/>
  <c r="H7" i="2"/>
  <c r="I13" i="2"/>
  <c r="J25" i="2"/>
  <c r="H28" i="2"/>
  <c r="I35" i="2"/>
  <c r="J37" i="2"/>
  <c r="J48" i="2"/>
  <c r="J21" i="2"/>
  <c r="J15" i="2"/>
  <c r="J39" i="2"/>
  <c r="H11" i="2"/>
  <c r="J16" i="2"/>
  <c r="H17" i="2"/>
  <c r="J4" i="2"/>
  <c r="J13" i="2"/>
  <c r="J23" i="2"/>
  <c r="J32" i="2"/>
  <c r="J35" i="2"/>
  <c r="J40" i="2"/>
  <c r="F53" i="1"/>
  <c r="Q53" i="1"/>
  <c r="S53" i="1"/>
  <c r="T53" i="1"/>
  <c r="F54" i="1"/>
  <c r="Q54" i="1"/>
  <c r="S54" i="1"/>
  <c r="T54" i="1"/>
  <c r="F55" i="1"/>
  <c r="Q55" i="1"/>
  <c r="S55" i="1"/>
  <c r="T55" i="1"/>
  <c r="G52" i="1"/>
  <c r="I52" i="1" s="1"/>
  <c r="G44" i="1"/>
  <c r="I44" i="1" s="1"/>
  <c r="E55" i="1"/>
  <c r="G55" i="1" s="1"/>
  <c r="E54" i="1"/>
  <c r="G54" i="1" s="1"/>
  <c r="Q51" i="1"/>
  <c r="S51" i="1"/>
  <c r="T51" i="1"/>
  <c r="Q52" i="1"/>
  <c r="S52" i="1"/>
  <c r="T52" i="1"/>
  <c r="L52" i="1"/>
  <c r="F52" i="1"/>
  <c r="F51" i="1"/>
  <c r="F50" i="1"/>
  <c r="F49" i="1"/>
  <c r="F48" i="1"/>
  <c r="E51" i="1"/>
  <c r="L51" i="1" s="1"/>
  <c r="E50" i="1"/>
  <c r="E49" i="1"/>
  <c r="G49" i="1" s="1"/>
  <c r="E48" i="1"/>
  <c r="G48" i="1" s="1"/>
  <c r="Q49" i="1"/>
  <c r="S49" i="1"/>
  <c r="T49" i="1"/>
  <c r="Q50" i="1"/>
  <c r="S50" i="1"/>
  <c r="T50" i="1"/>
  <c r="Q48" i="1"/>
  <c r="S48" i="1"/>
  <c r="T48" i="1"/>
  <c r="F47" i="1"/>
  <c r="F46" i="1"/>
  <c r="F45" i="1"/>
  <c r="E45" i="1"/>
  <c r="L45" i="1" s="1"/>
  <c r="E46" i="1"/>
  <c r="L46" i="1" s="1"/>
  <c r="E47" i="1"/>
  <c r="L47" i="1" s="1"/>
  <c r="Q45" i="1"/>
  <c r="S45" i="1"/>
  <c r="T45" i="1"/>
  <c r="Q46" i="1"/>
  <c r="S46" i="1"/>
  <c r="T46" i="1"/>
  <c r="Q47" i="1"/>
  <c r="S47" i="1"/>
  <c r="T47" i="1"/>
  <c r="Q40" i="1"/>
  <c r="S40" i="1"/>
  <c r="T40" i="1"/>
  <c r="Q41" i="1"/>
  <c r="S41" i="1"/>
  <c r="T41" i="1"/>
  <c r="Q42" i="1"/>
  <c r="S42" i="1"/>
  <c r="T42" i="1"/>
  <c r="Q43" i="1"/>
  <c r="S43" i="1"/>
  <c r="T43" i="1"/>
  <c r="L44" i="1"/>
  <c r="Q44" i="1"/>
  <c r="S44" i="1"/>
  <c r="T44" i="1"/>
  <c r="F44" i="1"/>
  <c r="F43" i="1"/>
  <c r="F42" i="1"/>
  <c r="F41" i="1"/>
  <c r="F40" i="1"/>
  <c r="E43" i="1"/>
  <c r="L43" i="1" s="1"/>
  <c r="E42" i="1"/>
  <c r="L42" i="1" s="1"/>
  <c r="E41" i="1"/>
  <c r="G41" i="1" s="1"/>
  <c r="E40" i="1"/>
  <c r="G40" i="1" s="1"/>
  <c r="Q36" i="1"/>
  <c r="S36" i="1"/>
  <c r="T36" i="1"/>
  <c r="Q37" i="1"/>
  <c r="S37" i="1"/>
  <c r="T37" i="1"/>
  <c r="Q38" i="1"/>
  <c r="S38" i="1"/>
  <c r="T38" i="1"/>
  <c r="Q39" i="1"/>
  <c r="S39" i="1"/>
  <c r="T39" i="1"/>
  <c r="F39" i="1"/>
  <c r="F38" i="1"/>
  <c r="F37" i="1"/>
  <c r="F36" i="1"/>
  <c r="F35" i="1"/>
  <c r="E35" i="1"/>
  <c r="L35" i="1" s="1"/>
  <c r="E37" i="1"/>
  <c r="L37" i="1" s="1"/>
  <c r="E39" i="1"/>
  <c r="G39" i="1" s="1"/>
  <c r="I39" i="1" s="1"/>
  <c r="E38" i="1"/>
  <c r="E36" i="1"/>
  <c r="G36" i="1" s="1"/>
  <c r="Q35" i="1"/>
  <c r="S35" i="1"/>
  <c r="T35" i="1"/>
  <c r="G32" i="1"/>
  <c r="J32" i="1" s="1"/>
  <c r="L32" i="1"/>
  <c r="Q32" i="1"/>
  <c r="S32" i="1"/>
  <c r="T32" i="1"/>
  <c r="G33" i="1"/>
  <c r="I33" i="1" s="1"/>
  <c r="L33" i="1"/>
  <c r="Q33" i="1"/>
  <c r="S33" i="1"/>
  <c r="T33" i="1"/>
  <c r="G34" i="1"/>
  <c r="L34" i="1"/>
  <c r="Q34" i="1"/>
  <c r="S34" i="1"/>
  <c r="T34" i="1"/>
  <c r="F34" i="1"/>
  <c r="F33" i="1"/>
  <c r="F32" i="1"/>
  <c r="Q28" i="1"/>
  <c r="S28" i="1"/>
  <c r="T28" i="1"/>
  <c r="E28" i="1"/>
  <c r="G28" i="1" s="1"/>
  <c r="F28" i="1"/>
  <c r="G27" i="1"/>
  <c r="I27" i="1" s="1"/>
  <c r="L27" i="1"/>
  <c r="Q27" i="1"/>
  <c r="S27" i="1"/>
  <c r="T27" i="1"/>
  <c r="Q29" i="1"/>
  <c r="S29" i="1"/>
  <c r="T29" i="1"/>
  <c r="Q30" i="1"/>
  <c r="S30" i="1"/>
  <c r="T30" i="1"/>
  <c r="G31" i="1"/>
  <c r="L31" i="1"/>
  <c r="Q31" i="1"/>
  <c r="S31" i="1"/>
  <c r="T31" i="1"/>
  <c r="F31" i="1"/>
  <c r="F30" i="1"/>
  <c r="E30" i="1"/>
  <c r="G30" i="1" s="1"/>
  <c r="F29" i="1"/>
  <c r="F27" i="1"/>
  <c r="E29" i="1"/>
  <c r="L29" i="1" s="1"/>
  <c r="Q24" i="1"/>
  <c r="S24" i="1"/>
  <c r="T24" i="1"/>
  <c r="Q25" i="1"/>
  <c r="S25" i="1"/>
  <c r="T25" i="1"/>
  <c r="G26" i="1"/>
  <c r="I26" i="1" s="1"/>
  <c r="L26" i="1"/>
  <c r="Q26" i="1"/>
  <c r="S26" i="1"/>
  <c r="T26" i="1"/>
  <c r="F26" i="1"/>
  <c r="F25" i="1"/>
  <c r="E25" i="1"/>
  <c r="G25" i="1" s="1"/>
  <c r="F24" i="1"/>
  <c r="E24" i="1"/>
  <c r="L24" i="1" s="1"/>
  <c r="Q22" i="1"/>
  <c r="S22" i="1"/>
  <c r="T22" i="1"/>
  <c r="G23" i="1"/>
  <c r="I23" i="1" s="1"/>
  <c r="Q23" i="1"/>
  <c r="S23" i="1"/>
  <c r="T23" i="1"/>
  <c r="L23" i="1"/>
  <c r="E22" i="1"/>
  <c r="G22" i="1" s="1"/>
  <c r="F22" i="1"/>
  <c r="F23" i="1"/>
  <c r="Q19" i="1"/>
  <c r="S19" i="1"/>
  <c r="T19" i="1"/>
  <c r="Q20" i="1"/>
  <c r="S20" i="1"/>
  <c r="T20" i="1"/>
  <c r="Q21" i="1"/>
  <c r="S21" i="1"/>
  <c r="T21" i="1"/>
  <c r="G18" i="1"/>
  <c r="L18" i="1"/>
  <c r="Q18" i="1"/>
  <c r="S18" i="1"/>
  <c r="T18" i="1"/>
  <c r="F18" i="1"/>
  <c r="F21" i="1"/>
  <c r="E21" i="1"/>
  <c r="G21" i="1" s="1"/>
  <c r="F20" i="1"/>
  <c r="E20" i="1"/>
  <c r="L20" i="1" s="1"/>
  <c r="E19" i="1"/>
  <c r="L19" i="1" s="1"/>
  <c r="F19" i="1"/>
  <c r="L3" i="1"/>
  <c r="F15" i="1"/>
  <c r="G15" i="1"/>
  <c r="I15" i="1" s="1"/>
  <c r="L15" i="1"/>
  <c r="Q15" i="1"/>
  <c r="S15" i="1"/>
  <c r="T15" i="1"/>
  <c r="F16" i="1"/>
  <c r="G16" i="1"/>
  <c r="I16" i="1" s="1"/>
  <c r="L16" i="1"/>
  <c r="Q16" i="1"/>
  <c r="S16" i="1"/>
  <c r="T16" i="1"/>
  <c r="F17" i="1"/>
  <c r="G17" i="1"/>
  <c r="J17" i="1" s="1"/>
  <c r="L17" i="1"/>
  <c r="Q17" i="1"/>
  <c r="S17" i="1"/>
  <c r="T17" i="1"/>
  <c r="F14" i="1"/>
  <c r="G14" i="1"/>
  <c r="L14" i="1"/>
  <c r="Q14" i="1"/>
  <c r="S14" i="1"/>
  <c r="T14" i="1"/>
  <c r="F12" i="1"/>
  <c r="Q12" i="1"/>
  <c r="S12" i="1"/>
  <c r="T12" i="1"/>
  <c r="F13" i="1"/>
  <c r="G13" i="1"/>
  <c r="J13" i="1" s="1"/>
  <c r="L13" i="1"/>
  <c r="Q13" i="1"/>
  <c r="S13" i="1"/>
  <c r="T13" i="1"/>
  <c r="Q11" i="1"/>
  <c r="S11" i="1"/>
  <c r="T11" i="1"/>
  <c r="F9" i="1"/>
  <c r="G9" i="1"/>
  <c r="L9" i="1"/>
  <c r="Q9" i="1"/>
  <c r="S9" i="1"/>
  <c r="T9" i="1"/>
  <c r="F10" i="1"/>
  <c r="L10" i="1"/>
  <c r="Q10" i="1"/>
  <c r="S10" i="1"/>
  <c r="T10" i="1"/>
  <c r="F8" i="1"/>
  <c r="Q8" i="1"/>
  <c r="S8" i="1"/>
  <c r="T8" i="1"/>
  <c r="F5" i="1"/>
  <c r="Q5" i="1"/>
  <c r="S5" i="1"/>
  <c r="T5" i="1"/>
  <c r="F7" i="1"/>
  <c r="G7" i="1"/>
  <c r="I7" i="1" s="1"/>
  <c r="L7" i="1"/>
  <c r="Q7" i="1"/>
  <c r="S7" i="1"/>
  <c r="T7" i="1"/>
  <c r="F6" i="1"/>
  <c r="G6" i="1"/>
  <c r="I6" i="1" s="1"/>
  <c r="L6" i="1"/>
  <c r="Q6" i="1"/>
  <c r="S6" i="1"/>
  <c r="T6" i="1"/>
  <c r="F2" i="1"/>
  <c r="G2" i="1"/>
  <c r="L2" i="1"/>
  <c r="Q2" i="1"/>
  <c r="S2" i="1"/>
  <c r="T2" i="1"/>
  <c r="F4" i="1"/>
  <c r="F3" i="1"/>
  <c r="G3" i="1"/>
  <c r="J3" i="1" s="1"/>
  <c r="L4" i="1"/>
  <c r="G4" i="1"/>
  <c r="J4" i="1" s="1"/>
  <c r="Q4" i="1"/>
  <c r="S4" i="1"/>
  <c r="T4" i="1"/>
  <c r="T3" i="1"/>
  <c r="S3" i="1"/>
  <c r="Q3" i="1"/>
  <c r="W5" i="1"/>
  <c r="H15" i="2" l="1"/>
  <c r="I15" i="2"/>
  <c r="G40" i="2"/>
  <c r="I39" i="2"/>
  <c r="G39" i="2"/>
  <c r="J55" i="2"/>
  <c r="I48" i="2"/>
  <c r="H55" i="2"/>
  <c r="G55" i="2"/>
  <c r="K55" i="2"/>
  <c r="H48" i="2"/>
  <c r="H51" i="2"/>
  <c r="G51" i="2"/>
  <c r="H40" i="2"/>
  <c r="I37" i="2"/>
  <c r="W46" i="4"/>
  <c r="U46" i="4"/>
  <c r="T46" i="4"/>
  <c r="O46" i="4"/>
  <c r="P46" i="4"/>
  <c r="S46" i="4"/>
  <c r="Q46" i="4"/>
  <c r="R46" i="4"/>
  <c r="M46" i="4"/>
  <c r="N46" i="4"/>
  <c r="H46" i="4"/>
  <c r="I46" i="4"/>
  <c r="J46" i="4"/>
  <c r="I2" i="1"/>
  <c r="J54" i="2"/>
  <c r="F54" i="2"/>
  <c r="K54" i="2"/>
  <c r="I25" i="2"/>
  <c r="I9" i="2"/>
  <c r="G37" i="2"/>
  <c r="G12" i="2"/>
  <c r="H12" i="2"/>
  <c r="G29" i="2"/>
  <c r="H29" i="2"/>
  <c r="H25" i="2"/>
  <c r="I8" i="2"/>
  <c r="I28" i="2"/>
  <c r="I7" i="2"/>
  <c r="F58" i="2"/>
  <c r="K58" i="2"/>
  <c r="J58" i="2"/>
  <c r="Q11" i="2"/>
  <c r="I10" i="2"/>
  <c r="Q30" i="2"/>
  <c r="I29" i="2"/>
  <c r="J44" i="1"/>
  <c r="G29" i="1"/>
  <c r="I29" i="1" s="1"/>
  <c r="G51" i="1"/>
  <c r="I51" i="1" s="1"/>
  <c r="G35" i="1"/>
  <c r="I35" i="1" s="1"/>
  <c r="J52" i="1"/>
  <c r="J22" i="1"/>
  <c r="L25" i="1"/>
  <c r="I32" i="1"/>
  <c r="G20" i="1"/>
  <c r="H20" i="1" s="1"/>
  <c r="H13" i="1"/>
  <c r="L21" i="1"/>
  <c r="G42" i="1"/>
  <c r="I42" i="1" s="1"/>
  <c r="H49" i="1"/>
  <c r="I49" i="1"/>
  <c r="I54" i="1"/>
  <c r="J54" i="1"/>
  <c r="L22" i="1"/>
  <c r="L28" i="1"/>
  <c r="L54" i="1"/>
  <c r="L30" i="1"/>
  <c r="L49" i="1"/>
  <c r="L39" i="1"/>
  <c r="H55" i="1"/>
  <c r="H16" i="1"/>
  <c r="H40" i="1"/>
  <c r="G43" i="1"/>
  <c r="I43" i="1" s="1"/>
  <c r="H10" i="1"/>
  <c r="G24" i="1"/>
  <c r="H24" i="1" s="1"/>
  <c r="H6" i="1"/>
  <c r="H3" i="1"/>
  <c r="J15" i="1"/>
  <c r="H21" i="1"/>
  <c r="H41" i="1"/>
  <c r="G47" i="1"/>
  <c r="H47" i="1" s="1"/>
  <c r="H9" i="1"/>
  <c r="H25" i="1"/>
  <c r="I48" i="1"/>
  <c r="H48" i="1"/>
  <c r="I30" i="1"/>
  <c r="I36" i="1"/>
  <c r="H36" i="1"/>
  <c r="J36" i="1"/>
  <c r="I28" i="1"/>
  <c r="H7" i="1"/>
  <c r="H39" i="1"/>
  <c r="L41" i="1"/>
  <c r="H52" i="1"/>
  <c r="J16" i="1"/>
  <c r="H15" i="1"/>
  <c r="H18" i="1"/>
  <c r="G19" i="1"/>
  <c r="J19" i="1" s="1"/>
  <c r="G38" i="1"/>
  <c r="L36" i="1"/>
  <c r="G45" i="1"/>
  <c r="J45" i="1" s="1"/>
  <c r="H17" i="1"/>
  <c r="H22" i="1"/>
  <c r="H26" i="1"/>
  <c r="H44" i="1"/>
  <c r="H54" i="1"/>
  <c r="I9" i="1"/>
  <c r="H2" i="1"/>
  <c r="J49" i="1"/>
  <c r="G46" i="1"/>
  <c r="H14" i="1"/>
  <c r="H4" i="1"/>
  <c r="H31" i="1"/>
  <c r="H27" i="1"/>
  <c r="H28" i="1"/>
  <c r="H32" i="1"/>
  <c r="I3" i="1"/>
  <c r="H30" i="1"/>
  <c r="H33" i="1"/>
  <c r="L38" i="1"/>
  <c r="L50" i="1"/>
  <c r="G50" i="1"/>
  <c r="G37" i="1"/>
  <c r="H37" i="1" s="1"/>
  <c r="L40" i="1"/>
  <c r="L48" i="1"/>
  <c r="L55" i="1"/>
  <c r="I22" i="1"/>
  <c r="J39" i="1"/>
  <c r="J55" i="1"/>
  <c r="I55" i="1"/>
  <c r="J48" i="1"/>
  <c r="J41" i="1"/>
  <c r="I41" i="1"/>
  <c r="J40" i="1"/>
  <c r="I40" i="1"/>
  <c r="I34" i="1"/>
  <c r="H34" i="1"/>
  <c r="J33" i="1"/>
  <c r="I31" i="1"/>
  <c r="I25" i="1"/>
  <c r="H23" i="1"/>
  <c r="J23" i="1"/>
  <c r="J18" i="1"/>
  <c r="I18" i="1"/>
  <c r="J21" i="1"/>
  <c r="I21" i="1"/>
  <c r="J14" i="1"/>
  <c r="I17" i="1"/>
  <c r="I13" i="1"/>
  <c r="I14" i="1"/>
  <c r="I10" i="1"/>
  <c r="I4" i="1"/>
  <c r="W6" i="1"/>
  <c r="K43" i="1" s="1"/>
  <c r="H35" i="1" l="1"/>
  <c r="I54" i="2"/>
  <c r="G54" i="2"/>
  <c r="H54" i="2"/>
  <c r="I58" i="2"/>
  <c r="H58" i="2"/>
  <c r="G58" i="2"/>
  <c r="Q31" i="2"/>
  <c r="I30" i="2"/>
  <c r="Q12" i="2"/>
  <c r="I12" i="2" s="1"/>
  <c r="I11" i="2"/>
  <c r="J51" i="1"/>
  <c r="H29" i="1"/>
  <c r="H51" i="1"/>
  <c r="I20" i="1"/>
  <c r="J35" i="1"/>
  <c r="H42" i="1"/>
  <c r="K40" i="1"/>
  <c r="J42" i="1"/>
  <c r="K21" i="1"/>
  <c r="J20" i="1"/>
  <c r="K47" i="1"/>
  <c r="I47" i="1"/>
  <c r="K27" i="1"/>
  <c r="I37" i="1"/>
  <c r="J37" i="1"/>
  <c r="K24" i="1"/>
  <c r="H43" i="1"/>
  <c r="K23" i="1"/>
  <c r="K37" i="1"/>
  <c r="K55" i="1"/>
  <c r="J47" i="1"/>
  <c r="K28" i="1"/>
  <c r="K20" i="1"/>
  <c r="J43" i="1"/>
  <c r="K31" i="1"/>
  <c r="K25" i="1"/>
  <c r="K45" i="1"/>
  <c r="K42" i="1"/>
  <c r="I24" i="1"/>
  <c r="K36" i="1"/>
  <c r="K48" i="1"/>
  <c r="K19" i="1"/>
  <c r="J38" i="1"/>
  <c r="I38" i="1"/>
  <c r="H38" i="1"/>
  <c r="K41" i="1"/>
  <c r="K46" i="1"/>
  <c r="K32" i="1"/>
  <c r="K26" i="1"/>
  <c r="I19" i="1"/>
  <c r="H19" i="1"/>
  <c r="J46" i="1"/>
  <c r="I46" i="1"/>
  <c r="H46" i="1"/>
  <c r="K38" i="1"/>
  <c r="J50" i="1"/>
  <c r="I50" i="1"/>
  <c r="H50" i="1"/>
  <c r="K9" i="1"/>
  <c r="K17" i="1"/>
  <c r="K39" i="1"/>
  <c r="K10" i="1"/>
  <c r="K3" i="1"/>
  <c r="K54" i="1"/>
  <c r="K44" i="1"/>
  <c r="K4" i="1"/>
  <c r="K2" i="1"/>
  <c r="K13" i="1"/>
  <c r="K34" i="1"/>
  <c r="K6" i="1"/>
  <c r="K14" i="1"/>
  <c r="K35" i="1"/>
  <c r="K15" i="1"/>
  <c r="K52" i="1"/>
  <c r="K16" i="1"/>
  <c r="K49" i="1"/>
  <c r="K33" i="1"/>
  <c r="K7" i="1"/>
  <c r="K29" i="1"/>
  <c r="K30" i="1"/>
  <c r="K18" i="1"/>
  <c r="K51" i="1"/>
  <c r="K22" i="1"/>
  <c r="H45" i="1"/>
  <c r="I45" i="1"/>
  <c r="K50" i="1"/>
  <c r="I31" i="2" l="1"/>
  <c r="Q32" i="2"/>
  <c r="I32" i="2" s="1"/>
  <c r="J26" i="1" l="1"/>
  <c r="J34" i="1" l="1"/>
  <c r="J25" i="1"/>
  <c r="J24" i="1" l="1"/>
  <c r="J31" i="1" l="1"/>
  <c r="J30" i="1" l="1"/>
  <c r="J29" i="1" l="1"/>
  <c r="J27" i="1" l="1"/>
  <c r="J28" i="1"/>
  <c r="J2" i="1"/>
  <c r="J9" i="1"/>
  <c r="J7" i="1"/>
  <c r="J6" i="1"/>
  <c r="J10" i="1"/>
  <c r="E5" i="1" l="1"/>
  <c r="K5" i="1" l="1"/>
  <c r="L5" i="1"/>
  <c r="G5" i="1"/>
  <c r="I5" i="1" s="1"/>
  <c r="J5" i="1" l="1"/>
  <c r="H5" i="1"/>
  <c r="E8" i="1"/>
  <c r="E53" i="1" s="1"/>
  <c r="K53" i="1" l="1"/>
  <c r="L53" i="1"/>
  <c r="G53" i="1"/>
  <c r="G8" i="1"/>
  <c r="L8" i="1"/>
  <c r="K8" i="1"/>
  <c r="H53" i="1" l="1"/>
  <c r="J53" i="1"/>
  <c r="I53" i="1"/>
  <c r="I8" i="1"/>
  <c r="H8" i="1"/>
  <c r="J8" i="1"/>
  <c r="E11" i="1"/>
  <c r="G11" i="1" s="1"/>
  <c r="I11" i="1" s="1"/>
  <c r="L11" i="1" l="1"/>
  <c r="D11" i="1"/>
  <c r="F11" i="1" s="1"/>
  <c r="E12" i="1"/>
  <c r="J11" i="1"/>
  <c r="K11" i="1"/>
  <c r="H11" i="1"/>
  <c r="K12" i="1" l="1"/>
  <c r="L12" i="1"/>
  <c r="G12" i="1"/>
  <c r="H12" i="1" l="1"/>
  <c r="J12" i="1"/>
  <c r="I12" i="1"/>
  <c r="AD4" i="5"/>
  <c r="J4" i="5" s="1"/>
  <c r="AD53" i="5"/>
  <c r="J53" i="5" s="1"/>
  <c r="AD41" i="5"/>
  <c r="J41" i="5" s="1"/>
  <c r="AD15" i="5"/>
  <c r="J15" i="5" s="1"/>
  <c r="AD23" i="5"/>
  <c r="J23" i="5" s="1"/>
  <c r="AD20" i="5"/>
  <c r="J20" i="5" s="1"/>
  <c r="AD14" i="5"/>
  <c r="J14" i="5" s="1"/>
  <c r="AD52" i="5"/>
  <c r="J52" i="5" s="1"/>
  <c r="AD12" i="5"/>
  <c r="J12" i="5" s="1"/>
  <c r="AD9" i="5"/>
  <c r="J9" i="5" s="1"/>
  <c r="AD24" i="5"/>
  <c r="J24" i="5" s="1"/>
  <c r="AD31" i="5"/>
  <c r="J31" i="5" s="1"/>
  <c r="AD7" i="5"/>
  <c r="J7" i="5" s="1"/>
  <c r="AD45" i="5"/>
  <c r="J45" i="5" s="1"/>
  <c r="AD35" i="5"/>
  <c r="J35" i="5" s="1"/>
  <c r="AD8" i="5"/>
  <c r="J8" i="5" s="1"/>
  <c r="J2" i="5"/>
  <c r="AD19" i="5"/>
  <c r="J19" i="5" s="1"/>
  <c r="AD50" i="5"/>
  <c r="J50" i="5" s="1"/>
  <c r="AD42" i="5"/>
  <c r="J42" i="5" s="1"/>
  <c r="AD28" i="5"/>
  <c r="J28" i="5" s="1"/>
  <c r="AD18" i="5"/>
  <c r="J18" i="5" s="1"/>
  <c r="AD33" i="5"/>
  <c r="J33" i="5" s="1"/>
  <c r="AD22" i="5"/>
  <c r="J22" i="5" s="1"/>
  <c r="AD11" i="5"/>
  <c r="J11" i="5" s="1"/>
  <c r="AD51" i="5"/>
  <c r="J51" i="5" s="1"/>
  <c r="AD49" i="5"/>
  <c r="J49" i="5" s="1"/>
  <c r="AD16" i="5"/>
  <c r="J16" i="5" s="1"/>
  <c r="AD32" i="5"/>
  <c r="J32" i="5" s="1"/>
  <c r="AD3" i="5"/>
  <c r="J3" i="5" s="1"/>
  <c r="AD48" i="5"/>
  <c r="J48" i="5" s="1"/>
  <c r="AD10" i="5"/>
  <c r="J10" i="5" s="1"/>
  <c r="AD6" i="5"/>
  <c r="J6" i="5" s="1"/>
  <c r="AD26" i="5"/>
  <c r="J26" i="5" s="1"/>
  <c r="AD21" i="5"/>
  <c r="J21" i="5" s="1"/>
  <c r="AD34" i="5"/>
  <c r="J34" i="5" s="1"/>
  <c r="AD36" i="5"/>
  <c r="J36" i="5" s="1"/>
  <c r="AD17" i="5"/>
  <c r="J17" i="5" s="1"/>
  <c r="AD25" i="5"/>
  <c r="J25" i="5" s="1"/>
  <c r="AD30" i="5"/>
  <c r="J30" i="5" s="1"/>
  <c r="AD46" i="5"/>
  <c r="J46" i="5" s="1"/>
  <c r="AD39" i="5"/>
  <c r="J39" i="5" s="1"/>
  <c r="AD29" i="5"/>
  <c r="J29" i="5" s="1"/>
  <c r="AD5" i="5"/>
  <c r="J5" i="5" s="1"/>
  <c r="AD44" i="5"/>
  <c r="J44" i="5" s="1"/>
  <c r="AD40" i="5"/>
  <c r="J40" i="5" s="1"/>
  <c r="AD38" i="5"/>
  <c r="J38" i="5" s="1"/>
  <c r="AD13" i="5"/>
  <c r="J13" i="5" s="1"/>
  <c r="AD27" i="5"/>
  <c r="J27" i="5" s="1"/>
  <c r="AD43" i="5"/>
  <c r="J43" i="5" s="1"/>
  <c r="AD37" i="5"/>
  <c r="J37" i="5" s="1"/>
  <c r="AD47" i="5"/>
  <c r="J47" i="5" s="1"/>
  <c r="U63" i="8"/>
  <c r="J55" i="8"/>
  <c r="J58" i="8"/>
  <c r="J54" i="8"/>
  <c r="U61" i="8"/>
  <c r="U60" i="8"/>
  <c r="U55" i="8"/>
  <c r="U58" i="8"/>
  <c r="U54" i="8"/>
  <c r="J61" i="8"/>
  <c r="J60" i="8"/>
  <c r="J59" i="8"/>
  <c r="U59" i="8"/>
  <c r="J57" i="8"/>
  <c r="J63" i="8"/>
  <c r="J56" i="8"/>
  <c r="U62" i="8"/>
  <c r="U57" i="8"/>
  <c r="J62" i="8"/>
  <c r="U56" i="8"/>
  <c r="J78" i="8"/>
  <c r="J89" i="8"/>
  <c r="U88" i="8"/>
  <c r="U83" i="8"/>
  <c r="U81" i="8"/>
  <c r="J81" i="8"/>
  <c r="J82" i="8"/>
  <c r="J80" i="8"/>
  <c r="U78" i="8"/>
  <c r="U84" i="8"/>
  <c r="U82" i="8"/>
  <c r="U80" i="8"/>
  <c r="J79" i="8"/>
  <c r="J84" i="8"/>
  <c r="J86" i="8"/>
  <c r="U85" i="8"/>
  <c r="U79" i="8"/>
  <c r="U87" i="8"/>
  <c r="U86" i="8"/>
  <c r="J83" i="8"/>
  <c r="J88" i="8"/>
  <c r="U89" i="8"/>
  <c r="J87" i="8"/>
  <c r="J85" i="8"/>
  <c r="U90" i="12"/>
  <c r="AD90" i="12"/>
  <c r="J90" i="12" s="1"/>
  <c r="U93" i="12"/>
  <c r="AD93" i="12"/>
  <c r="J93" i="12" s="1"/>
  <c r="U92" i="12"/>
  <c r="U91" i="12"/>
  <c r="U95" i="12"/>
  <c r="AD95" i="12"/>
  <c r="J95" i="12" s="1"/>
  <c r="U94" i="12"/>
  <c r="AD94" i="12"/>
  <c r="J94" i="12" s="1"/>
  <c r="AD92" i="12"/>
  <c r="J92" i="12" s="1"/>
  <c r="AD91" i="12"/>
  <c r="J91" i="12" s="1"/>
  <c r="AD96" i="12"/>
  <c r="J96" i="12" s="1"/>
  <c r="U96" i="12"/>
  <c r="U101" i="12"/>
  <c r="U99" i="12"/>
  <c r="AD99" i="12"/>
  <c r="J99" i="12" s="1"/>
  <c r="AD101" i="12"/>
  <c r="J101" i="12" s="1"/>
  <c r="U100" i="12"/>
  <c r="AD100" i="12"/>
  <c r="J100" i="12" s="1"/>
  <c r="U97" i="12"/>
  <c r="AD97" i="12"/>
  <c r="J97" i="12" s="1"/>
  <c r="U98" i="12"/>
  <c r="J98" i="12"/>
  <c r="AD104" i="12"/>
  <c r="J104" i="12" s="1"/>
  <c r="U104" i="12"/>
  <c r="U103" i="12"/>
  <c r="AD103" i="12"/>
  <c r="J103" i="12" s="1"/>
  <c r="U105" i="12"/>
  <c r="AD105" i="12"/>
  <c r="J105" i="12" s="1"/>
  <c r="U102" i="12"/>
  <c r="AD102" i="12"/>
  <c r="J102" i="12" s="1"/>
  <c r="U106" i="12"/>
  <c r="AD106" i="12"/>
  <c r="J106" i="12" s="1"/>
  <c r="U107" i="12"/>
  <c r="AD107" i="12"/>
  <c r="J107" i="12" s="1"/>
  <c r="U109" i="12"/>
  <c r="AD110" i="12"/>
  <c r="J110" i="12" s="1"/>
  <c r="U110" i="12"/>
  <c r="AD111" i="12"/>
  <c r="J111" i="12" s="1"/>
  <c r="U111" i="12"/>
  <c r="U112" i="12"/>
  <c r="J109" i="12"/>
  <c r="AD112" i="12"/>
  <c r="J112" i="12" s="1"/>
  <c r="AD108" i="12"/>
  <c r="J108" i="12" s="1"/>
  <c r="U108" i="12"/>
  <c r="U115" i="12"/>
  <c r="U114" i="12"/>
  <c r="J114" i="12"/>
  <c r="U113" i="12"/>
  <c r="J113" i="12"/>
  <c r="J115" i="12"/>
  <c r="U116" i="12"/>
  <c r="J117" i="12"/>
  <c r="U117" i="12"/>
  <c r="J116" i="12"/>
  <c r="J122" i="12"/>
  <c r="U122" i="12"/>
  <c r="U121" i="12"/>
  <c r="U119" i="12"/>
  <c r="J119" i="12"/>
  <c r="J121" i="12"/>
  <c r="U118" i="12"/>
  <c r="J118" i="12"/>
  <c r="U123" i="12"/>
  <c r="J123" i="12"/>
  <c r="J120" i="12"/>
  <c r="U120" i="12"/>
  <c r="U184" i="12"/>
  <c r="U176" i="12"/>
  <c r="U162" i="12"/>
  <c r="U169" i="12"/>
  <c r="U131" i="12"/>
  <c r="AD176" i="12"/>
  <c r="J176" i="12" s="1"/>
  <c r="U153" i="12"/>
  <c r="U190" i="12"/>
  <c r="U173" i="12"/>
  <c r="U154" i="12"/>
  <c r="U138" i="12"/>
  <c r="U186" i="12"/>
  <c r="AD186" i="12"/>
  <c r="J186" i="12" s="1"/>
  <c r="U141" i="12"/>
  <c r="U151" i="12"/>
  <c r="U134" i="12"/>
  <c r="U150" i="12"/>
  <c r="U177" i="12"/>
  <c r="U185" i="12"/>
  <c r="U195" i="12"/>
  <c r="AD168" i="12"/>
  <c r="J168" i="12" s="1"/>
  <c r="U168" i="12"/>
  <c r="AD157" i="12"/>
  <c r="J157" i="12" s="1"/>
  <c r="U157" i="12"/>
  <c r="U165" i="12"/>
  <c r="U171" i="12"/>
  <c r="AD162" i="12"/>
  <c r="J162" i="12" s="1"/>
  <c r="AD183" i="12"/>
  <c r="J183" i="12" s="1"/>
  <c r="U183" i="12"/>
  <c r="U136" i="12"/>
  <c r="U188" i="12"/>
  <c r="AD188" i="12"/>
  <c r="J188" i="12" s="1"/>
  <c r="AD153" i="12"/>
  <c r="J153" i="12" s="1"/>
  <c r="AD180" i="12"/>
  <c r="J180" i="12" s="1"/>
  <c r="U180" i="12"/>
  <c r="AD190" i="12"/>
  <c r="J190" i="12" s="1"/>
  <c r="AD173" i="12"/>
  <c r="J173" i="12" s="1"/>
  <c r="U179" i="12"/>
  <c r="AD171" i="12"/>
  <c r="J171" i="12" s="1"/>
  <c r="AD164" i="12"/>
  <c r="J164" i="12" s="1"/>
  <c r="U164" i="12"/>
  <c r="AD136" i="12"/>
  <c r="J136" i="12" s="1"/>
  <c r="AD178" i="12"/>
  <c r="J178" i="12" s="1"/>
  <c r="U178" i="12"/>
  <c r="AD150" i="12"/>
  <c r="J150" i="12" s="1"/>
  <c r="U182" i="12"/>
  <c r="AD182" i="12"/>
  <c r="J182" i="12" s="1"/>
  <c r="U142" i="12"/>
  <c r="AD142" i="12"/>
  <c r="J142" i="12" s="1"/>
  <c r="AD195" i="12"/>
  <c r="J195" i="12" s="1"/>
  <c r="U163" i="12"/>
  <c r="U144" i="12"/>
  <c r="U143" i="12"/>
  <c r="AD143" i="12"/>
  <c r="J143" i="12" s="1"/>
  <c r="U133" i="12"/>
  <c r="U167" i="12"/>
  <c r="U126" i="12"/>
  <c r="U124" i="12"/>
  <c r="AD174" i="12"/>
  <c r="J174" i="12" s="1"/>
  <c r="U174" i="12"/>
  <c r="AD126" i="12"/>
  <c r="J126" i="12" s="1"/>
  <c r="AD177" i="12"/>
  <c r="J177" i="12" s="1"/>
  <c r="U127" i="12"/>
  <c r="AD127" i="12"/>
  <c r="J127" i="12" s="1"/>
  <c r="AD163" i="12"/>
  <c r="J163" i="12" s="1"/>
  <c r="U193" i="12"/>
  <c r="U129" i="12"/>
  <c r="AD129" i="12"/>
  <c r="J129" i="12" s="1"/>
  <c r="AD179" i="12"/>
  <c r="J179" i="12" s="1"/>
  <c r="U137" i="12"/>
  <c r="AD137" i="12"/>
  <c r="J137" i="12" s="1"/>
  <c r="AD151" i="12"/>
  <c r="J151" i="12" s="1"/>
  <c r="AD194" i="12"/>
  <c r="J194" i="12" s="1"/>
  <c r="U194" i="12"/>
  <c r="U158" i="12"/>
  <c r="U196" i="12"/>
  <c r="AD165" i="12"/>
  <c r="J165" i="12" s="1"/>
  <c r="U175" i="12"/>
  <c r="AD175" i="12"/>
  <c r="J175" i="12" s="1"/>
  <c r="AD167" i="12"/>
  <c r="J167" i="12" s="1"/>
  <c r="U130" i="12"/>
  <c r="AD130" i="12"/>
  <c r="J130" i="12" s="1"/>
  <c r="U146" i="12"/>
  <c r="U147" i="12"/>
  <c r="AD147" i="12"/>
  <c r="J147" i="12" s="1"/>
  <c r="AD125" i="12"/>
  <c r="J125" i="12" s="1"/>
  <c r="U125" i="12"/>
  <c r="AD187" i="12"/>
  <c r="J187" i="12" s="1"/>
  <c r="U187" i="12"/>
  <c r="AD152" i="12"/>
  <c r="J152" i="12" s="1"/>
  <c r="U152" i="12"/>
  <c r="AD189" i="12"/>
  <c r="J189" i="12" s="1"/>
  <c r="U189" i="12"/>
  <c r="AD132" i="12"/>
  <c r="J132" i="12" s="1"/>
  <c r="U132" i="12"/>
  <c r="U148" i="12"/>
  <c r="AD146" i="12"/>
  <c r="J146" i="12" s="1"/>
  <c r="U197" i="12"/>
  <c r="U145" i="12"/>
  <c r="AD145" i="12"/>
  <c r="J145" i="12" s="1"/>
  <c r="AD133" i="12"/>
  <c r="J133" i="12" s="1"/>
  <c r="AD124" i="12"/>
  <c r="J124" i="12" s="1"/>
  <c r="AD138" i="12"/>
  <c r="J138" i="12" s="1"/>
  <c r="AD169" i="12"/>
  <c r="J169" i="12" s="1"/>
  <c r="AD154" i="12"/>
  <c r="J154" i="12" s="1"/>
  <c r="AD196" i="12"/>
  <c r="J196" i="12" s="1"/>
  <c r="U155" i="12"/>
  <c r="U161" i="12"/>
  <c r="AD161" i="12"/>
  <c r="J161" i="12" s="1"/>
  <c r="AD134" i="12"/>
  <c r="J134" i="12" s="1"/>
  <c r="AD148" i="12"/>
  <c r="J148" i="12" s="1"/>
  <c r="U135" i="12"/>
  <c r="AD135" i="12"/>
  <c r="J135" i="12" s="1"/>
  <c r="AD185" i="12"/>
  <c r="J185" i="12" s="1"/>
  <c r="U170" i="12"/>
  <c r="AD170" i="12"/>
  <c r="J170" i="12" s="1"/>
  <c r="U198" i="12"/>
  <c r="AD198" i="12"/>
  <c r="J198" i="12" s="1"/>
  <c r="U166" i="12"/>
  <c r="AD166" i="12"/>
  <c r="J166" i="12" s="1"/>
  <c r="AD158" i="12"/>
  <c r="J158" i="12" s="1"/>
  <c r="AD181" i="12"/>
  <c r="J181" i="12" s="1"/>
  <c r="U181" i="12"/>
  <c r="U160" i="12"/>
  <c r="AD160" i="12"/>
  <c r="J160" i="12" s="1"/>
  <c r="AD193" i="12"/>
  <c r="J193" i="12" s="1"/>
  <c r="AD141" i="12"/>
  <c r="J141" i="12" s="1"/>
  <c r="U128" i="12"/>
  <c r="AD128" i="12"/>
  <c r="J128" i="12" s="1"/>
  <c r="AD184" i="12"/>
  <c r="J184" i="12" s="1"/>
  <c r="U156" i="12"/>
  <c r="AD156" i="12"/>
  <c r="J156" i="12" s="1"/>
  <c r="AD144" i="12"/>
  <c r="J144" i="12" s="1"/>
  <c r="U159" i="12"/>
  <c r="AD159" i="12"/>
  <c r="J159" i="12" s="1"/>
  <c r="AD131" i="12"/>
  <c r="J131" i="12" s="1"/>
  <c r="AD140" i="12"/>
  <c r="J140" i="12" s="1"/>
  <c r="U140" i="12"/>
  <c r="AD139" i="12"/>
  <c r="J139" i="12" s="1"/>
  <c r="U139" i="12"/>
  <c r="AD172" i="12"/>
  <c r="J172" i="12" s="1"/>
  <c r="U172" i="12"/>
  <c r="AD155" i="12"/>
  <c r="J155" i="12" s="1"/>
  <c r="AD191" i="12"/>
  <c r="J191" i="12" s="1"/>
  <c r="U191" i="12"/>
  <c r="AD197" i="12"/>
  <c r="J197" i="12" s="1"/>
  <c r="AD149" i="12"/>
  <c r="J149" i="12" s="1"/>
  <c r="U149" i="12"/>
  <c r="AD192" i="12"/>
  <c r="J192" i="12" s="1"/>
  <c r="U192" i="12"/>
  <c r="J56" i="13"/>
  <c r="J57" i="13"/>
  <c r="J59" i="13"/>
  <c r="U57" i="13"/>
  <c r="J58" i="13"/>
  <c r="U56" i="13"/>
  <c r="J60" i="13"/>
  <c r="J61" i="13"/>
  <c r="J68" i="13"/>
  <c r="J65" i="13"/>
  <c r="J64" i="13"/>
  <c r="J62" i="13"/>
  <c r="J70" i="13"/>
  <c r="J69" i="13"/>
  <c r="J63" i="13"/>
  <c r="J66" i="13"/>
  <c r="J67" i="13"/>
  <c r="AD71" i="13"/>
  <c r="J71" i="13" s="1"/>
  <c r="AD75" i="13"/>
  <c r="J75" i="13" s="1"/>
  <c r="J77" i="13"/>
  <c r="AD73" i="13"/>
  <c r="J73" i="13" s="1"/>
  <c r="AD72" i="13"/>
  <c r="J72" i="13" s="1"/>
  <c r="AD76" i="13"/>
  <c r="J76" i="13" s="1"/>
  <c r="AD74" i="13"/>
  <c r="J74" i="13" s="1"/>
  <c r="AD82" i="13"/>
  <c r="J82" i="13" s="1"/>
  <c r="AD83" i="13"/>
  <c r="J83" i="13" s="1"/>
  <c r="AD81" i="13"/>
  <c r="J81" i="13" s="1"/>
</calcChain>
</file>

<file path=xl/comments1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comments2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comments3.xml><?xml version="1.0" encoding="utf-8"?>
<comments xmlns="http://schemas.openxmlformats.org/spreadsheetml/2006/main">
  <authors>
    <author>Rouzbeh Davoudi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Rouzbeh Davoudi:</t>
        </r>
        <r>
          <rPr>
            <sz val="9"/>
            <color indexed="81"/>
            <rFont val="Tahoma"/>
            <family val="2"/>
          </rPr>
          <t xml:space="preserve">
12/19 was multiplied to find maximum shear force in the beam in the left suppoer (riht support 7/19)</t>
        </r>
      </text>
    </comment>
  </commentList>
</comments>
</file>

<file path=xl/sharedStrings.xml><?xml version="1.0" encoding="utf-8"?>
<sst xmlns="http://schemas.openxmlformats.org/spreadsheetml/2006/main" count="1889" uniqueCount="297">
  <si>
    <t>Specimen-105-A</t>
  </si>
  <si>
    <t>Specimen-105-B</t>
  </si>
  <si>
    <t>Specimen-105-C</t>
  </si>
  <si>
    <t>M/EI</t>
  </si>
  <si>
    <t>Image name</t>
  </si>
  <si>
    <t>a (mm)</t>
  </si>
  <si>
    <t xml:space="preserve">width (mm) </t>
  </si>
  <si>
    <t>fc(Mpa)</t>
  </si>
  <si>
    <t>E (Mpa)</t>
  </si>
  <si>
    <t>d (mm)</t>
  </si>
  <si>
    <t>As (mm^2)</t>
  </si>
  <si>
    <t>pho (%)</t>
  </si>
  <si>
    <t>h (mm)</t>
  </si>
  <si>
    <t>M/bd^2</t>
  </si>
  <si>
    <t>M/(As fy d)</t>
  </si>
  <si>
    <t>J(mm^4)</t>
  </si>
  <si>
    <t>G (Mpa)</t>
  </si>
  <si>
    <t>I (mm^4)</t>
  </si>
  <si>
    <t>fy (Mpa)</t>
  </si>
  <si>
    <t>V/(bd)</t>
  </si>
  <si>
    <t>V/(GJ)</t>
  </si>
  <si>
    <t>Deflection at midSpan (mm)</t>
  </si>
  <si>
    <t>Length (mm)</t>
  </si>
  <si>
    <t>M (KN.mm)</t>
  </si>
  <si>
    <t>V (KN)</t>
  </si>
  <si>
    <t>Deflection at midSpan (mm)/length of the beam (mm) %</t>
  </si>
  <si>
    <t>4 -post-cap</t>
  </si>
  <si>
    <t>5- post cap</t>
  </si>
  <si>
    <t>6--post cap</t>
  </si>
  <si>
    <t>4--post cap</t>
  </si>
  <si>
    <t>Specimen-131-A</t>
  </si>
  <si>
    <t>Specimen-131-B</t>
  </si>
  <si>
    <t>Specimen-131-C</t>
  </si>
  <si>
    <t>5--post cap</t>
  </si>
  <si>
    <t>2--post cap</t>
  </si>
  <si>
    <t>Specimen-164-A</t>
  </si>
  <si>
    <t>Specimen-164-B</t>
  </si>
  <si>
    <t>Specimen-164-C</t>
  </si>
  <si>
    <t>Specimen-189-A</t>
  </si>
  <si>
    <t>Specimen-189-B</t>
  </si>
  <si>
    <t>Specimen-189-C</t>
  </si>
  <si>
    <t>A</t>
  </si>
  <si>
    <t>B</t>
  </si>
  <si>
    <t>C</t>
  </si>
  <si>
    <t>Specimen-236-A</t>
  </si>
  <si>
    <t>Specimen-236-B</t>
  </si>
  <si>
    <t>Specimen-236-C</t>
  </si>
  <si>
    <t>Specimen-335-A</t>
  </si>
  <si>
    <t>Specimen-335-B</t>
  </si>
  <si>
    <t xml:space="preserve">Specimen-335-C </t>
  </si>
  <si>
    <t>Column1</t>
  </si>
  <si>
    <t>saba76</t>
  </si>
  <si>
    <t>Final Image number</t>
  </si>
  <si>
    <t>M/(bd)</t>
  </si>
  <si>
    <t>M/bh</t>
  </si>
  <si>
    <t>A-1</t>
  </si>
  <si>
    <t>A-2</t>
  </si>
  <si>
    <t>Image Name</t>
  </si>
  <si>
    <t>Final Image name</t>
  </si>
  <si>
    <t>Image Seri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</si>
  <si>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</si>
  <si>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</si>
  <si>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</si>
  <si>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</si>
  <si>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</si>
  <si>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</si>
  <si>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</si>
  <si>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</si>
  <si>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</si>
  <si>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B-1</t>
  </si>
  <si>
    <t>B-2</t>
  </si>
  <si>
    <t>C-1</t>
  </si>
  <si>
    <t>C-2</t>
  </si>
  <si>
    <t>D-1</t>
  </si>
  <si>
    <t>D-2</t>
  </si>
  <si>
    <t>Column2</t>
  </si>
  <si>
    <t>b (mm)</t>
  </si>
  <si>
    <t>fc (Mpa)</t>
  </si>
  <si>
    <t>L(mm)</t>
  </si>
  <si>
    <t>M/(bhl)</t>
  </si>
  <si>
    <t>Column3</t>
  </si>
  <si>
    <t>M/(bdl)</t>
  </si>
  <si>
    <t>M/(fc bhl)</t>
  </si>
  <si>
    <t>M/(bh (l-a))</t>
  </si>
  <si>
    <t>M/(bh (l/2))</t>
  </si>
  <si>
    <t>M/(abh (l/2))</t>
  </si>
  <si>
    <t>M/(abh (l-a))</t>
  </si>
  <si>
    <t>M/(a^2 bh )</t>
  </si>
  <si>
    <t>M/(pho  bd)</t>
  </si>
  <si>
    <t>Column4</t>
  </si>
  <si>
    <t>M/(rho  bd)</t>
  </si>
  <si>
    <t>V/(fc bha)</t>
  </si>
  <si>
    <t>E</t>
  </si>
  <si>
    <t>W</t>
  </si>
  <si>
    <t>1_1_</t>
  </si>
  <si>
    <t>1_2_</t>
  </si>
  <si>
    <t>1_3_</t>
  </si>
  <si>
    <t>1_4_</t>
  </si>
  <si>
    <t>2_1_</t>
  </si>
  <si>
    <t>2_2_</t>
  </si>
  <si>
    <t>2_3_</t>
  </si>
  <si>
    <t>2_4_</t>
  </si>
  <si>
    <t>M/M_fracture</t>
  </si>
  <si>
    <t>105-A</t>
  </si>
  <si>
    <t>105-B</t>
  </si>
  <si>
    <t>105-C</t>
  </si>
  <si>
    <t>131-A</t>
  </si>
  <si>
    <t>131-B</t>
  </si>
  <si>
    <t>131-C</t>
  </si>
  <si>
    <t>164-A</t>
  </si>
  <si>
    <t>164-B</t>
  </si>
  <si>
    <t>164-C</t>
  </si>
  <si>
    <t>189-A</t>
  </si>
  <si>
    <t>189-B</t>
  </si>
  <si>
    <t>189-C</t>
  </si>
  <si>
    <t>236-A</t>
  </si>
  <si>
    <t>236-B</t>
  </si>
  <si>
    <t>236-C</t>
  </si>
  <si>
    <t>335-A</t>
  </si>
  <si>
    <t>335-B</t>
  </si>
  <si>
    <t>a/d</t>
  </si>
  <si>
    <t>Width (in)</t>
  </si>
  <si>
    <t>Length (in)</t>
  </si>
  <si>
    <t>Number of images/load steps used</t>
  </si>
  <si>
    <t>ρ (%)</t>
  </si>
  <si>
    <t>1_1</t>
  </si>
  <si>
    <t>1_2</t>
  </si>
  <si>
    <t>1_3</t>
  </si>
  <si>
    <t>1_4</t>
  </si>
  <si>
    <t>2_1</t>
  </si>
  <si>
    <t>2_2</t>
  </si>
  <si>
    <t>2_3</t>
  </si>
  <si>
    <t>2_4</t>
  </si>
  <si>
    <t>Test ID</t>
  </si>
  <si>
    <t>Specimen No</t>
  </si>
  <si>
    <t xml:space="preserve">Total Number of  Images </t>
  </si>
  <si>
    <t>Data set  1</t>
  </si>
  <si>
    <t>Data set  2</t>
  </si>
  <si>
    <t>Data set  3</t>
  </si>
  <si>
    <t>V/(2*sqrt(fc) bd)</t>
  </si>
  <si>
    <t>AT-1</t>
  </si>
  <si>
    <t>F</t>
  </si>
  <si>
    <t>AT-2/250N</t>
  </si>
  <si>
    <t>AT-2/250W</t>
  </si>
  <si>
    <t>AT-2/1000W</t>
  </si>
  <si>
    <t>AT-2/1000N</t>
  </si>
  <si>
    <t>AT-2/3000</t>
  </si>
  <si>
    <t>AT-3/N1</t>
  </si>
  <si>
    <t>AT-3/N2</t>
  </si>
  <si>
    <t>AT-3/T1</t>
  </si>
  <si>
    <t>AT-3/T2</t>
  </si>
  <si>
    <t>L-10N1</t>
  </si>
  <si>
    <t>L-10N2</t>
  </si>
  <si>
    <t>L-10H</t>
  </si>
  <si>
    <t>L-10HS</t>
  </si>
  <si>
    <t>L-20N1</t>
  </si>
  <si>
    <t>L-20N2</t>
  </si>
  <si>
    <t>L-40N1</t>
  </si>
  <si>
    <t>L-40N2</t>
  </si>
  <si>
    <t>S-10N1</t>
  </si>
  <si>
    <t>S-10N2</t>
  </si>
  <si>
    <t>S-20N1</t>
  </si>
  <si>
    <t>S-20N2</t>
  </si>
  <si>
    <t>S-40N1</t>
  </si>
  <si>
    <t>S-40N2</t>
  </si>
  <si>
    <t>S-50N1</t>
  </si>
  <si>
    <t>S-50N2</t>
  </si>
  <si>
    <t>S-20D1</t>
  </si>
  <si>
    <t>S-10H</t>
  </si>
  <si>
    <t>S-10HS</t>
  </si>
  <si>
    <t>L-20L</t>
  </si>
  <si>
    <t>A-3</t>
  </si>
  <si>
    <t>A-4</t>
  </si>
  <si>
    <t>m</t>
  </si>
  <si>
    <t>j</t>
  </si>
  <si>
    <t>k</t>
  </si>
  <si>
    <t>l</t>
  </si>
  <si>
    <t>D-3</t>
  </si>
  <si>
    <t>D-4</t>
  </si>
  <si>
    <t>D-5</t>
  </si>
  <si>
    <t>D-6</t>
  </si>
  <si>
    <t>E-1</t>
  </si>
  <si>
    <t>E-2</t>
  </si>
  <si>
    <t>F-1</t>
  </si>
  <si>
    <t>F_1</t>
  </si>
  <si>
    <t>F-2</t>
  </si>
  <si>
    <t>SP1</t>
  </si>
  <si>
    <t>SP2</t>
  </si>
  <si>
    <t>SP3</t>
  </si>
  <si>
    <t>SP4</t>
  </si>
  <si>
    <t>SP5</t>
  </si>
  <si>
    <t>SP6</t>
  </si>
  <si>
    <t>y</t>
  </si>
  <si>
    <t>PLS4000</t>
  </si>
  <si>
    <t>d/a</t>
  </si>
  <si>
    <t>Test / Specimen Type</t>
  </si>
  <si>
    <t>4 point load, beam</t>
  </si>
  <si>
    <t>3 point load, beam</t>
  </si>
  <si>
    <t>d (in)</t>
  </si>
  <si>
    <t>Data set  4</t>
  </si>
  <si>
    <t>Data set  5</t>
  </si>
  <si>
    <t>3 point load, slab</t>
  </si>
  <si>
    <t>Data set 6</t>
  </si>
  <si>
    <t>Data set 7</t>
  </si>
  <si>
    <t>Uniform loading</t>
  </si>
  <si>
    <t>Tension-face loading</t>
  </si>
  <si>
    <t>Data set 8</t>
  </si>
  <si>
    <t>1L-2</t>
  </si>
  <si>
    <t>2L-1</t>
  </si>
  <si>
    <t>4k-1</t>
  </si>
  <si>
    <t>3 point load, haunched beam</t>
  </si>
  <si>
    <t>a (in)</t>
  </si>
  <si>
    <t>1L_2</t>
  </si>
  <si>
    <t>2L_1</t>
  </si>
  <si>
    <t>4k_1</t>
  </si>
  <si>
    <t>frequency</t>
  </si>
  <si>
    <t>1.5-2</t>
  </si>
  <si>
    <t>2-2.5</t>
  </si>
  <si>
    <t>2.5-3</t>
  </si>
  <si>
    <t>&lt;1.5</t>
  </si>
  <si>
    <t>3-3.5</t>
  </si>
  <si>
    <t>3.5-4</t>
  </si>
  <si>
    <t>&lt;5</t>
  </si>
  <si>
    <t>5-10</t>
  </si>
  <si>
    <t>4-5</t>
  </si>
  <si>
    <t>10-15</t>
  </si>
  <si>
    <t>15-20</t>
  </si>
  <si>
    <t>25-30</t>
  </si>
  <si>
    <t>20-25</t>
  </si>
  <si>
    <t>30-35</t>
  </si>
  <si>
    <t>35-40</t>
  </si>
  <si>
    <t>40-45</t>
  </si>
  <si>
    <t>45-50</t>
  </si>
  <si>
    <t>50-55</t>
  </si>
  <si>
    <t>55-60</t>
  </si>
  <si>
    <t>80-120</t>
  </si>
  <si>
    <t>35-80</t>
  </si>
  <si>
    <t>YB2000_0</t>
  </si>
  <si>
    <t>SB2000_3</t>
  </si>
  <si>
    <t>SB2012_0</t>
  </si>
  <si>
    <t>Data set 9</t>
  </si>
  <si>
    <t>Data set 10</t>
  </si>
  <si>
    <t>Data set 1</t>
  </si>
  <si>
    <t>Data set 2</t>
  </si>
  <si>
    <t>Data set 3</t>
  </si>
  <si>
    <t>Data set 4</t>
  </si>
  <si>
    <t>Data set 5</t>
  </si>
  <si>
    <t>No # specimens</t>
  </si>
  <si>
    <t>No # of images/load steps used</t>
  </si>
  <si>
    <t>3 point load, deep beam</t>
  </si>
  <si>
    <t xml:space="preserve"> 3 point load, haunched beam</t>
  </si>
  <si>
    <t>1.1 - 4.81</t>
  </si>
  <si>
    <t>1.3 - 1.55</t>
  </si>
  <si>
    <t>3.2-12.1</t>
  </si>
  <si>
    <t>9-22.5</t>
  </si>
  <si>
    <t>3 point load, beam &amp; slab</t>
  </si>
  <si>
    <t>10.5-26.3</t>
  </si>
  <si>
    <t>0.55-0.85</t>
  </si>
  <si>
    <t>18.6-32.4</t>
  </si>
  <si>
    <t>55-194</t>
  </si>
  <si>
    <t>2.97-3</t>
  </si>
  <si>
    <t>9.1-32.3</t>
  </si>
  <si>
    <t>1.2-1.3</t>
  </si>
  <si>
    <t>64.8-74.8</t>
  </si>
  <si>
    <t>9-22.6</t>
  </si>
  <si>
    <t>8.0-24</t>
  </si>
  <si>
    <t>78-195</t>
  </si>
  <si>
    <t>77.9-240</t>
  </si>
  <si>
    <t>2.3-2.9</t>
  </si>
  <si>
    <t>10.6-26.4</t>
  </si>
  <si>
    <t>0.63-0.98</t>
  </si>
  <si>
    <t>22.8-33.8</t>
  </si>
  <si>
    <t>42.5-318.9</t>
  </si>
  <si>
    <t>2.79-3.4</t>
  </si>
  <si>
    <t>11-57.1</t>
  </si>
  <si>
    <t>0.3-1.33</t>
  </si>
  <si>
    <t>29.1-77.3</t>
  </si>
  <si>
    <t>425-441.7</t>
  </si>
  <si>
    <t>2.8-2.9</t>
  </si>
  <si>
    <t>0.4-1.5</t>
  </si>
  <si>
    <t>26.2-28.3</t>
  </si>
  <si>
    <t>141-236</t>
  </si>
  <si>
    <t>-</t>
  </si>
  <si>
    <t>39-64</t>
  </si>
  <si>
    <t>70.8-118</t>
  </si>
  <si>
    <t>1.57-3.1</t>
  </si>
  <si>
    <t>35.4-59.1</t>
  </si>
  <si>
    <t>4.8-118.3</t>
  </si>
  <si>
    <t>42.5-937</t>
  </si>
  <si>
    <t>3-5.0</t>
  </si>
  <si>
    <t>3.2-151.2</t>
  </si>
  <si>
    <t>0.3-3.1</t>
  </si>
  <si>
    <t>18.6-77.3</t>
  </si>
  <si>
    <t>1.1-5.0</t>
  </si>
  <si>
    <t>Overall</t>
  </si>
  <si>
    <t>V/(2*sqrt(fc) bd)2</t>
  </si>
  <si>
    <t>M/(rho  EI)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</si>
</sst>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D6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5" borderId="25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21" xfId="0" applyFont="1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0" fillId="5" borderId="18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5" borderId="30" xfId="0" applyFont="1" applyFill="1" applyBorder="1" applyAlignment="1">
      <alignment horizontal="center" vertical="center"/>
    </xf>
    <xf numFmtId="0" fontId="0" fillId="5" borderId="32" xfId="0" applyFont="1" applyFill="1" applyBorder="1" applyAlignment="1">
      <alignment horizontal="center" vertical="center"/>
    </xf>
    <xf numFmtId="0" fontId="0" fillId="5" borderId="33" xfId="0" applyFont="1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2" fillId="10" borderId="22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horizontal="center" vertical="center"/>
    </xf>
    <xf numFmtId="0" fontId="2" fillId="6" borderId="22" xfId="0" applyFont="1" applyFill="1" applyBorder="1" applyAlignment="1">
      <alignment horizontal="center" vertical="center"/>
    </xf>
    <xf numFmtId="0" fontId="2" fillId="14" borderId="26" xfId="0" applyFont="1" applyFill="1" applyBorder="1" applyAlignment="1">
      <alignment horizontal="center" vertical="center"/>
    </xf>
    <xf numFmtId="0" fontId="2" fillId="14" borderId="27" xfId="0" applyFont="1" applyFill="1" applyBorder="1" applyAlignment="1">
      <alignment horizontal="center" vertical="center"/>
    </xf>
    <xf numFmtId="0" fontId="2" fillId="14" borderId="2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5" borderId="22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 vertical="center"/>
    </xf>
    <xf numFmtId="0" fontId="2" fillId="17" borderId="22" xfId="0" applyFont="1" applyFill="1" applyBorder="1" applyAlignment="1">
      <alignment horizontal="center" vertical="center"/>
    </xf>
    <xf numFmtId="0" fontId="2" fillId="18" borderId="2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4" fillId="21" borderId="0" xfId="0" applyFont="1" applyFill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wrapText="1"/>
    </xf>
    <xf numFmtId="0" fontId="1" fillId="19" borderId="4" xfId="0" applyFont="1" applyFill="1" applyBorder="1" applyAlignment="1">
      <alignment horizontal="center" wrapText="1"/>
    </xf>
    <xf numFmtId="0" fontId="2" fillId="14" borderId="4" xfId="0" applyFont="1" applyFill="1" applyBorder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3" fillId="16" borderId="4" xfId="0" applyFont="1" applyFill="1" applyBorder="1" applyAlignment="1">
      <alignment horizontal="center" vertical="center" wrapText="1"/>
    </xf>
    <xf numFmtId="0" fontId="0" fillId="15" borderId="4" xfId="0" applyFill="1" applyBorder="1"/>
    <xf numFmtId="164" fontId="0" fillId="15" borderId="4" xfId="0" applyNumberFormat="1" applyFill="1" applyBorder="1"/>
    <xf numFmtId="0" fontId="0" fillId="15" borderId="4" xfId="0" applyFill="1" applyBorder="1" applyAlignment="1">
      <alignment horizontal="center"/>
    </xf>
    <xf numFmtId="0" fontId="5" fillId="21" borderId="0" xfId="0" applyFont="1" applyFill="1" applyAlignment="1">
      <alignment horizontal="center" vertical="center"/>
    </xf>
    <xf numFmtId="164" fontId="0" fillId="0" borderId="4" xfId="0" applyNumberFormat="1" applyFill="1" applyBorder="1"/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22" borderId="4" xfId="0" applyFont="1" applyFill="1" applyBorder="1" applyAlignment="1">
      <alignment horizontal="center" vertical="center" wrapText="1"/>
    </xf>
    <xf numFmtId="0" fontId="3" fillId="22" borderId="4" xfId="0" applyFont="1" applyFill="1" applyBorder="1" applyAlignment="1">
      <alignment horizontal="center" vertical="center" wrapText="1"/>
    </xf>
    <xf numFmtId="0" fontId="0" fillId="0" borderId="4" xfId="0" applyNumberFormat="1" applyFill="1" applyBorder="1"/>
    <xf numFmtId="0" fontId="0" fillId="0" borderId="4" xfId="0" applyNumberFormat="1" applyBorder="1"/>
    <xf numFmtId="0" fontId="0" fillId="0" borderId="4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Border="1"/>
    <xf numFmtId="164" fontId="0" fillId="0" borderId="4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2" borderId="4" xfId="0" applyFill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0" fontId="0" fillId="9" borderId="4" xfId="0" applyFill="1" applyBorder="1" applyAlignment="1">
      <alignment horizontal="left"/>
    </xf>
    <xf numFmtId="0" fontId="0" fillId="25" borderId="4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5" fillId="21" borderId="0" xfId="0" applyFont="1" applyFill="1" applyBorder="1" applyAlignment="1">
      <alignment horizontal="center" vertical="center"/>
    </xf>
    <xf numFmtId="0" fontId="0" fillId="26" borderId="4" xfId="0" applyFill="1" applyBorder="1" applyAlignment="1">
      <alignment horizontal="left"/>
    </xf>
    <xf numFmtId="0" fontId="0" fillId="0" borderId="17" xfId="0" applyBorder="1" applyAlignment="1">
      <alignment horizontal="right" vertical="center" wrapText="1"/>
    </xf>
    <xf numFmtId="16" fontId="2" fillId="22" borderId="4" xfId="0" applyNumberFormat="1" applyFont="1" applyFill="1" applyBorder="1" applyAlignment="1">
      <alignment horizontal="right" wrapText="1"/>
    </xf>
    <xf numFmtId="16" fontId="2" fillId="23" borderId="4" xfId="0" applyNumberFormat="1" applyFont="1" applyFill="1" applyBorder="1" applyAlignment="1">
      <alignment horizontal="right" wrapText="1"/>
    </xf>
    <xf numFmtId="16" fontId="2" fillId="4" borderId="4" xfId="0" applyNumberFormat="1" applyFont="1" applyFill="1" applyBorder="1" applyAlignment="1">
      <alignment horizontal="right" wrapText="1"/>
    </xf>
    <xf numFmtId="16" fontId="2" fillId="11" borderId="4" xfId="0" applyNumberFormat="1" applyFont="1" applyFill="1" applyBorder="1" applyAlignment="1">
      <alignment horizontal="right" wrapText="1"/>
    </xf>
    <xf numFmtId="16" fontId="2" fillId="24" borderId="4" xfId="0" applyNumberFormat="1" applyFont="1" applyFill="1" applyBorder="1" applyAlignment="1">
      <alignment horizontal="right" wrapText="1"/>
    </xf>
    <xf numFmtId="16" fontId="2" fillId="9" borderId="4" xfId="0" applyNumberFormat="1" applyFont="1" applyFill="1" applyBorder="1" applyAlignment="1">
      <alignment horizontal="right" wrapText="1"/>
    </xf>
    <xf numFmtId="16" fontId="2" fillId="25" borderId="4" xfId="0" applyNumberFormat="1" applyFont="1" applyFill="1" applyBorder="1" applyAlignment="1">
      <alignment horizontal="right" wrapText="1"/>
    </xf>
    <xf numFmtId="0" fontId="0" fillId="26" borderId="4" xfId="0" applyFill="1" applyBorder="1" applyAlignment="1">
      <alignment horizontal="right" wrapText="1"/>
    </xf>
    <xf numFmtId="0" fontId="0" fillId="0" borderId="4" xfId="0" applyBorder="1" applyAlignment="1">
      <alignment horizontal="center"/>
    </xf>
    <xf numFmtId="0" fontId="0" fillId="23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0" fillId="24" borderId="4" xfId="0" applyFill="1" applyBorder="1" applyAlignment="1">
      <alignment horizontal="left"/>
    </xf>
    <xf numFmtId="0" fontId="0" fillId="16" borderId="4" xfId="0" applyFill="1" applyBorder="1" applyAlignment="1">
      <alignment horizontal="center"/>
    </xf>
    <xf numFmtId="0" fontId="0" fillId="27" borderId="4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0" xfId="0" applyFont="1"/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0" fillId="22" borderId="0" xfId="0" applyFill="1" applyAlignment="1">
      <alignment horizontal="center"/>
    </xf>
    <xf numFmtId="0" fontId="0" fillId="0" borderId="0" xfId="0" applyAlignment="1"/>
    <xf numFmtId="0" fontId="0" fillId="22" borderId="0" xfId="0" applyFill="1" applyAlignment="1">
      <alignment horizontal="left"/>
    </xf>
    <xf numFmtId="0" fontId="4" fillId="21" borderId="0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0" fillId="0" borderId="0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22" borderId="4" xfId="0" applyFill="1" applyBorder="1" applyAlignment="1">
      <alignment horizontal="center"/>
    </xf>
    <xf numFmtId="0" fontId="0" fillId="32" borderId="4" xfId="0" applyFill="1" applyBorder="1" applyAlignment="1">
      <alignment horizontal="center"/>
    </xf>
    <xf numFmtId="0" fontId="0" fillId="0" borderId="1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2" fillId="16" borderId="2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10" borderId="2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9" borderId="21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12" borderId="2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14" borderId="21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3" borderId="21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2" fillId="18" borderId="4" xfId="0" applyFont="1" applyFill="1" applyBorder="1" applyAlignment="1">
      <alignment horizontal="center" vertical="center"/>
    </xf>
    <xf numFmtId="0" fontId="2" fillId="18" borderId="25" xfId="0" applyFont="1" applyFill="1" applyBorder="1" applyAlignment="1">
      <alignment horizontal="center" vertical="center"/>
    </xf>
    <xf numFmtId="0" fontId="2" fillId="18" borderId="17" xfId="0" applyFont="1" applyFill="1" applyBorder="1" applyAlignment="1">
      <alignment horizontal="center" vertical="center"/>
    </xf>
    <xf numFmtId="0" fontId="0" fillId="23" borderId="4" xfId="0" applyFill="1" applyBorder="1"/>
    <xf numFmtId="0" fontId="0" fillId="22" borderId="4" xfId="0" applyFill="1" applyBorder="1" applyAlignment="1">
      <alignment horizontal="center" vertical="center" wrapText="1"/>
    </xf>
    <xf numFmtId="0" fontId="0" fillId="22" borderId="4" xfId="0" applyFill="1" applyBorder="1"/>
    <xf numFmtId="0" fontId="0" fillId="32" borderId="4" xfId="0" applyFill="1" applyBorder="1" applyAlignment="1">
      <alignment horizontal="center" vertical="center" wrapText="1"/>
    </xf>
    <xf numFmtId="0" fontId="0" fillId="32" borderId="4" xfId="0" applyFill="1" applyBorder="1"/>
    <xf numFmtId="0" fontId="0" fillId="9" borderId="4" xfId="0" applyFill="1" applyBorder="1" applyAlignment="1">
      <alignment horizontal="center" vertical="center" wrapText="1"/>
    </xf>
    <xf numFmtId="0" fontId="0" fillId="9" borderId="4" xfId="0" applyFill="1" applyBorder="1"/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horizontal="left" vertical="center" wrapText="1"/>
    </xf>
    <xf numFmtId="0" fontId="0" fillId="22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left"/>
    </xf>
    <xf numFmtId="0" fontId="0" fillId="19" borderId="4" xfId="0" applyFill="1" applyBorder="1"/>
    <xf numFmtId="0" fontId="0" fillId="8" borderId="4" xfId="0" applyFill="1" applyBorder="1" applyAlignment="1">
      <alignment horizontal="left"/>
    </xf>
    <xf numFmtId="0" fontId="0" fillId="8" borderId="4" xfId="0" applyFill="1" applyBorder="1"/>
    <xf numFmtId="0" fontId="0" fillId="6" borderId="4" xfId="0" applyFill="1" applyBorder="1" applyAlignment="1">
      <alignment horizontal="left"/>
    </xf>
    <xf numFmtId="0" fontId="0" fillId="24" borderId="4" xfId="0" applyFill="1" applyBorder="1"/>
    <xf numFmtId="0" fontId="0" fillId="11" borderId="4" xfId="0" applyFill="1" applyBorder="1"/>
    <xf numFmtId="0" fontId="0" fillId="26" borderId="4" xfId="0" applyFill="1" applyBorder="1"/>
    <xf numFmtId="0" fontId="0" fillId="32" borderId="4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4" xfId="0" applyFill="1" applyBorder="1"/>
    <xf numFmtId="0" fontId="0" fillId="23" borderId="4" xfId="0" applyFill="1" applyBorder="1" applyAlignment="1">
      <alignment horizontal="left" vertical="center"/>
    </xf>
    <xf numFmtId="0" fontId="0" fillId="30" borderId="4" xfId="0" applyFill="1" applyBorder="1" applyAlignment="1">
      <alignment horizontal="left"/>
    </xf>
    <xf numFmtId="0" fontId="0" fillId="30" borderId="4" xfId="0" applyFill="1" applyBorder="1"/>
    <xf numFmtId="0" fontId="0" fillId="15" borderId="4" xfId="0" applyFill="1" applyBorder="1" applyAlignment="1">
      <alignment horizontal="left"/>
    </xf>
    <xf numFmtId="0" fontId="0" fillId="34" borderId="4" xfId="0" applyFill="1" applyBorder="1" applyAlignment="1">
      <alignment horizontal="left" vertical="center"/>
    </xf>
    <xf numFmtId="0" fontId="0" fillId="34" borderId="4" xfId="0" applyFill="1" applyBorder="1" applyAlignment="1">
      <alignment horizontal="center" vertical="center"/>
    </xf>
    <xf numFmtId="0" fontId="0" fillId="33" borderId="4" xfId="0" applyFill="1" applyBorder="1" applyAlignment="1">
      <alignment horizontal="left" vertical="center"/>
    </xf>
    <xf numFmtId="0" fontId="0" fillId="33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left" vertical="center"/>
    </xf>
    <xf numFmtId="0" fontId="0" fillId="8" borderId="4" xfId="0" applyFill="1" applyBorder="1" applyAlignment="1">
      <alignment horizontal="center" vertical="center"/>
    </xf>
    <xf numFmtId="0" fontId="0" fillId="29" borderId="4" xfId="0" applyFill="1" applyBorder="1" applyAlignment="1">
      <alignment horizontal="left" vertical="center"/>
    </xf>
    <xf numFmtId="0" fontId="0" fillId="29" borderId="4" xfId="0" applyFill="1" applyBorder="1" applyAlignment="1">
      <alignment horizontal="center" vertical="center"/>
    </xf>
    <xf numFmtId="0" fontId="0" fillId="32" borderId="4" xfId="0" applyFill="1" applyBorder="1" applyAlignment="1">
      <alignment horizontal="left" vertical="center"/>
    </xf>
    <xf numFmtId="0" fontId="0" fillId="32" borderId="4" xfId="0" applyFill="1" applyBorder="1" applyAlignment="1">
      <alignment horizontal="center" vertical="center"/>
    </xf>
    <xf numFmtId="0" fontId="0" fillId="31" borderId="4" xfId="0" applyFill="1" applyBorder="1" applyAlignment="1">
      <alignment horizontal="left" vertical="center"/>
    </xf>
    <xf numFmtId="0" fontId="0" fillId="31" borderId="4" xfId="0" applyFill="1" applyBorder="1" applyAlignment="1">
      <alignment horizontal="center" vertical="center"/>
    </xf>
    <xf numFmtId="0" fontId="0" fillId="28" borderId="4" xfId="0" applyFill="1" applyBorder="1" applyAlignment="1">
      <alignment horizontal="left" vertical="center"/>
    </xf>
    <xf numFmtId="0" fontId="0" fillId="28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/>
    </xf>
    <xf numFmtId="0" fontId="0" fillId="10" borderId="4" xfId="0" applyFill="1" applyBorder="1" applyAlignment="1">
      <alignment horizontal="center" vertical="center"/>
    </xf>
    <xf numFmtId="0" fontId="0" fillId="19" borderId="4" xfId="0" applyFill="1" applyBorder="1" applyAlignment="1">
      <alignment horizontal="left" vertical="center"/>
    </xf>
    <xf numFmtId="0" fontId="0" fillId="19" borderId="4" xfId="0" applyFill="1" applyBorder="1" applyAlignment="1">
      <alignment horizontal="center" vertical="center"/>
    </xf>
    <xf numFmtId="0" fontId="0" fillId="35" borderId="4" xfId="0" applyFill="1" applyBorder="1" applyAlignment="1">
      <alignment horizontal="left" vertical="center"/>
    </xf>
    <xf numFmtId="0" fontId="0" fillId="35" borderId="4" xfId="0" applyFill="1" applyBorder="1" applyAlignment="1">
      <alignment horizontal="center" vertical="center"/>
    </xf>
    <xf numFmtId="0" fontId="0" fillId="30" borderId="4" xfId="0" applyFill="1" applyBorder="1" applyAlignment="1">
      <alignment horizontal="left" vertical="center"/>
    </xf>
    <xf numFmtId="0" fontId="0" fillId="30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22" borderId="4" xfId="0" applyFill="1" applyBorder="1" applyAlignment="1"/>
    <xf numFmtId="0" fontId="13" fillId="36" borderId="4" xfId="1" applyFont="1" applyFill="1" applyBorder="1" applyAlignment="1">
      <alignment horizontal="left"/>
    </xf>
    <xf numFmtId="0" fontId="13" fillId="36" borderId="4" xfId="1" applyFont="1" applyFill="1" applyBorder="1" applyAlignment="1">
      <alignment horizontal="center"/>
    </xf>
    <xf numFmtId="0" fontId="13" fillId="36" borderId="4" xfId="1" applyFont="1" applyFill="1" applyBorder="1" applyAlignment="1"/>
    <xf numFmtId="0" fontId="0" fillId="19" borderId="4" xfId="0" applyFill="1" applyBorder="1" applyAlignment="1">
      <alignment horizontal="center"/>
    </xf>
    <xf numFmtId="0" fontId="0" fillId="19" borderId="4" xfId="0" applyFill="1" applyBorder="1" applyAlignment="1"/>
    <xf numFmtId="0" fontId="0" fillId="24" borderId="4" xfId="0" applyFill="1" applyBorder="1" applyAlignment="1">
      <alignment horizontal="center"/>
    </xf>
    <xf numFmtId="0" fontId="0" fillId="24" borderId="4" xfId="0" applyFill="1" applyBorder="1" applyAlignment="1"/>
    <xf numFmtId="0" fontId="0" fillId="26" borderId="4" xfId="0" applyFill="1" applyBorder="1" applyAlignment="1">
      <alignment horizontal="center"/>
    </xf>
    <xf numFmtId="0" fontId="0" fillId="26" borderId="4" xfId="0" applyFill="1" applyBorder="1" applyAlignment="1"/>
    <xf numFmtId="0" fontId="0" fillId="11" borderId="4" xfId="0" applyFill="1" applyBorder="1" applyAlignment="1">
      <alignment horizontal="center"/>
    </xf>
    <xf numFmtId="0" fontId="0" fillId="11" borderId="4" xfId="0" applyFill="1" applyBorder="1" applyAlignment="1"/>
    <xf numFmtId="165" fontId="7" fillId="0" borderId="4" xfId="0" applyNumberFormat="1" applyFont="1" applyBorder="1" applyAlignment="1">
      <alignment horizontal="center"/>
    </xf>
    <xf numFmtId="165" fontId="7" fillId="0" borderId="4" xfId="0" applyNumberFormat="1" applyFont="1" applyFill="1" applyBorder="1" applyAlignment="1">
      <alignment horizontal="center"/>
    </xf>
    <xf numFmtId="2" fontId="8" fillId="0" borderId="4" xfId="0" applyNumberFormat="1" applyFont="1" applyBorder="1" applyAlignment="1">
      <alignment horizontal="center" vertical="center" wrapText="1"/>
    </xf>
    <xf numFmtId="2" fontId="7" fillId="0" borderId="4" xfId="0" applyNumberFormat="1" applyFont="1" applyBorder="1" applyAlignment="1">
      <alignment horizontal="center"/>
    </xf>
    <xf numFmtId="2" fontId="7" fillId="0" borderId="4" xfId="0" applyNumberFormat="1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165" fontId="6" fillId="0" borderId="4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9" fillId="0" borderId="4" xfId="0" applyNumberFormat="1" applyFont="1" applyBorder="1" applyAlignment="1">
      <alignment horizontal="center" vertical="center" textRotation="90" wrapText="1"/>
    </xf>
    <xf numFmtId="165" fontId="7" fillId="0" borderId="4" xfId="0" applyNumberFormat="1" applyFont="1" applyFill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0" fillId="8" borderId="4" xfId="0" applyFill="1" applyBorder="1" applyAlignment="1">
      <alignment horizontal="center"/>
    </xf>
    <xf numFmtId="0" fontId="0" fillId="22" borderId="7" xfId="0" applyFill="1" applyBorder="1" applyAlignment="1">
      <alignment horizontal="left"/>
    </xf>
    <xf numFmtId="0" fontId="0" fillId="22" borderId="15" xfId="0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22" borderId="9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4" borderId="9" xfId="0" applyFill="1" applyBorder="1"/>
    <xf numFmtId="0" fontId="0" fillId="8" borderId="9" xfId="0" applyFill="1" applyBorder="1"/>
    <xf numFmtId="0" fontId="0" fillId="8" borderId="40" xfId="0" applyFill="1" applyBorder="1"/>
    <xf numFmtId="0" fontId="0" fillId="8" borderId="16" xfId="0" applyFill="1" applyBorder="1"/>
    <xf numFmtId="0" fontId="0" fillId="8" borderId="16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6" xfId="0" applyBorder="1"/>
    <xf numFmtId="0" fontId="0" fillId="0" borderId="1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/>
    <xf numFmtId="0" fontId="1" fillId="19" borderId="4" xfId="0" applyFont="1" applyFill="1" applyBorder="1" applyAlignment="1">
      <alignment horizontal="left"/>
    </xf>
    <xf numFmtId="0" fontId="1" fillId="19" borderId="4" xfId="0" applyFont="1" applyFill="1" applyBorder="1" applyAlignment="1">
      <alignment horizontal="center"/>
    </xf>
    <xf numFmtId="0" fontId="1" fillId="22" borderId="4" xfId="0" applyFont="1" applyFill="1" applyBorder="1" applyAlignment="1"/>
    <xf numFmtId="0" fontId="1" fillId="19" borderId="4" xfId="0" applyFont="1" applyFill="1" applyBorder="1" applyAlignment="1"/>
    <xf numFmtId="0" fontId="0" fillId="37" borderId="0" xfId="0" applyFill="1"/>
    <xf numFmtId="0" fontId="0" fillId="37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30" borderId="0" xfId="0" applyFill="1"/>
    <xf numFmtId="0" fontId="0" fillId="30" borderId="0" xfId="0" applyFill="1" applyAlignment="1">
      <alignment horizontal="center"/>
    </xf>
    <xf numFmtId="0" fontId="7" fillId="0" borderId="4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/>
    </xf>
    <xf numFmtId="0" fontId="7" fillId="5" borderId="41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/>
    </xf>
    <xf numFmtId="165" fontId="7" fillId="0" borderId="4" xfId="0" quotePrefix="1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65" fontId="7" fillId="0" borderId="17" xfId="0" applyNumberFormat="1" applyFont="1" applyBorder="1" applyAlignment="1">
      <alignment horizontal="center"/>
    </xf>
    <xf numFmtId="2" fontId="7" fillId="0" borderId="17" xfId="0" applyNumberFormat="1" applyFont="1" applyBorder="1" applyAlignment="1">
      <alignment horizontal="center"/>
    </xf>
    <xf numFmtId="165" fontId="7" fillId="0" borderId="17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38" borderId="4" xfId="0" applyFont="1" applyFill="1" applyBorder="1" applyAlignment="1">
      <alignment horizontal="center" vertical="center"/>
    </xf>
    <xf numFmtId="0" fontId="7" fillId="38" borderId="4" xfId="0" applyNumberFormat="1" applyFont="1" applyFill="1" applyBorder="1" applyAlignment="1">
      <alignment horizontal="center"/>
    </xf>
    <xf numFmtId="0" fontId="7" fillId="38" borderId="4" xfId="0" applyFont="1" applyFill="1" applyBorder="1" applyAlignment="1">
      <alignment horizontal="center"/>
    </xf>
    <xf numFmtId="165" fontId="7" fillId="38" borderId="4" xfId="0" applyNumberFormat="1" applyFont="1" applyFill="1" applyBorder="1" applyAlignment="1">
      <alignment horizontal="center"/>
    </xf>
    <xf numFmtId="2" fontId="7" fillId="38" borderId="4" xfId="0" applyNumberFormat="1" applyFont="1" applyFill="1" applyBorder="1" applyAlignment="1">
      <alignment horizontal="center"/>
    </xf>
    <xf numFmtId="0" fontId="0" fillId="38" borderId="0" xfId="0" applyFill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9" fillId="38" borderId="4" xfId="0" applyFont="1" applyFill="1" applyBorder="1" applyAlignment="1">
      <alignment horizontal="center" vertical="center" textRotation="90" wrapText="1"/>
    </xf>
    <xf numFmtId="0" fontId="9" fillId="0" borderId="4" xfId="0" applyFont="1" applyFill="1" applyBorder="1" applyAlignment="1">
      <alignment horizontal="center" vertical="center" textRotation="90" wrapText="1"/>
    </xf>
    <xf numFmtId="0" fontId="9" fillId="0" borderId="17" xfId="0" applyFont="1" applyFill="1" applyBorder="1" applyAlignment="1">
      <alignment horizontal="center" vertical="center" textRotation="90" wrapText="1"/>
    </xf>
    <xf numFmtId="0" fontId="9" fillId="5" borderId="4" xfId="0" applyFont="1" applyFill="1" applyBorder="1" applyAlignment="1">
      <alignment horizontal="center" vertical="center"/>
    </xf>
    <xf numFmtId="0" fontId="9" fillId="38" borderId="17" xfId="0" applyFont="1" applyFill="1" applyBorder="1" applyAlignment="1">
      <alignment horizontal="center" vertical="center" textRotation="90" wrapText="1"/>
    </xf>
    <xf numFmtId="0" fontId="9" fillId="38" borderId="38" xfId="0" applyFont="1" applyFill="1" applyBorder="1" applyAlignment="1">
      <alignment horizontal="center" vertical="center" textRotation="90" wrapText="1"/>
    </xf>
    <xf numFmtId="0" fontId="9" fillId="38" borderId="37" xfId="0" applyFont="1" applyFill="1" applyBorder="1" applyAlignment="1">
      <alignment horizontal="center" vertical="center" textRotation="90" wrapText="1"/>
    </xf>
    <xf numFmtId="0" fontId="9" fillId="0" borderId="17" xfId="0" applyFont="1" applyBorder="1" applyAlignment="1">
      <alignment horizontal="center" vertical="center" textRotation="90" wrapText="1"/>
    </xf>
    <xf numFmtId="0" fontId="9" fillId="0" borderId="38" xfId="0" applyFont="1" applyBorder="1" applyAlignment="1">
      <alignment horizontal="center" vertical="center" textRotation="90" wrapText="1"/>
    </xf>
    <xf numFmtId="0" fontId="9" fillId="0" borderId="37" xfId="0" applyFont="1" applyBorder="1" applyAlignment="1">
      <alignment horizontal="center" vertical="center" textRotation="90" wrapText="1"/>
    </xf>
    <xf numFmtId="165" fontId="9" fillId="0" borderId="17" xfId="0" applyNumberFormat="1" applyFont="1" applyBorder="1" applyAlignment="1">
      <alignment horizontal="center" vertical="center" textRotation="90" wrapText="1"/>
    </xf>
    <xf numFmtId="165" fontId="9" fillId="0" borderId="38" xfId="0" applyNumberFormat="1" applyFont="1" applyBorder="1" applyAlignment="1">
      <alignment horizontal="center" vertical="center" textRotation="90" wrapText="1"/>
    </xf>
    <xf numFmtId="165" fontId="9" fillId="0" borderId="37" xfId="0" applyNumberFormat="1" applyFont="1" applyBorder="1" applyAlignment="1">
      <alignment horizontal="center" vertical="center" textRotation="90" wrapText="1"/>
    </xf>
    <xf numFmtId="165" fontId="9" fillId="0" borderId="17" xfId="0" applyNumberFormat="1" applyFont="1" applyBorder="1" applyAlignment="1">
      <alignment horizontal="center" vertical="center" textRotation="90"/>
    </xf>
    <xf numFmtId="165" fontId="9" fillId="0" borderId="37" xfId="0" applyNumberFormat="1" applyFont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507"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.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medium">
          <color rgb="FF000000"/>
        </right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6D6D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right style="medium">
          <color indexed="64"/>
        </right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6D6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all_ex_postcap!$V$2:$V$53</c:f>
              <c:numCache>
                <c:formatCode>General</c:formatCode>
                <c:ptCount val="52"/>
                <c:pt idx="0">
                  <c:v>1.6914325436739335</c:v>
                </c:pt>
                <c:pt idx="1">
                  <c:v>1.7577632316611467</c:v>
                </c:pt>
                <c:pt idx="2">
                  <c:v>1.6582671996803269</c:v>
                </c:pt>
                <c:pt idx="3">
                  <c:v>2.0827836027984907</c:v>
                </c:pt>
                <c:pt idx="4">
                  <c:v>1.4924404797122941</c:v>
                </c:pt>
                <c:pt idx="5">
                  <c:v>1.6914325436739335</c:v>
                </c:pt>
                <c:pt idx="6">
                  <c:v>1.1939523837698354</c:v>
                </c:pt>
                <c:pt idx="7">
                  <c:v>1.1404498005348664</c:v>
                </c:pt>
                <c:pt idx="8">
                  <c:v>1.7127021671143616</c:v>
                </c:pt>
                <c:pt idx="9">
                  <c:v>1.3938830895426144</c:v>
                </c:pt>
                <c:pt idx="10">
                  <c:v>1.4445697473441641</c:v>
                </c:pt>
                <c:pt idx="11">
                  <c:v>1.723346365252687</c:v>
                </c:pt>
                <c:pt idx="12">
                  <c:v>1.1911364583364159</c:v>
                </c:pt>
                <c:pt idx="13">
                  <c:v>1.6726597074511373</c:v>
                </c:pt>
                <c:pt idx="14">
                  <c:v>1.7993763519550114</c:v>
                </c:pt>
                <c:pt idx="15">
                  <c:v>1.6002397776713693</c:v>
                </c:pt>
                <c:pt idx="16">
                  <c:v>0.88902209870631643</c:v>
                </c:pt>
                <c:pt idx="17">
                  <c:v>1.3335331480594745</c:v>
                </c:pt>
                <c:pt idx="18">
                  <c:v>1.6350275989250946</c:v>
                </c:pt>
                <c:pt idx="19">
                  <c:v>0.96632836815903944</c:v>
                </c:pt>
                <c:pt idx="20">
                  <c:v>1.2562268786067512</c:v>
                </c:pt>
                <c:pt idx="21">
                  <c:v>1.6620847932335479</c:v>
                </c:pt>
                <c:pt idx="22">
                  <c:v>2.2032286794026099</c:v>
                </c:pt>
                <c:pt idx="23">
                  <c:v>1.6480937812773802</c:v>
                </c:pt>
                <c:pt idx="24">
                  <c:v>1.6711670942152634</c:v>
                </c:pt>
                <c:pt idx="25">
                  <c:v>1.4799882155870874</c:v>
                </c:pt>
                <c:pt idx="26">
                  <c:v>0.91209433888702773</c:v>
                </c:pt>
                <c:pt idx="27">
                  <c:v>1.0873494923618143</c:v>
                </c:pt>
                <c:pt idx="28">
                  <c:v>1.2024806150824769</c:v>
                </c:pt>
                <c:pt idx="29">
                  <c:v>1.5862510241513528</c:v>
                </c:pt>
                <c:pt idx="30">
                  <c:v>1.618231891573759</c:v>
                </c:pt>
                <c:pt idx="31">
                  <c:v>1.3304040847721021</c:v>
                </c:pt>
                <c:pt idx="32">
                  <c:v>1.5350816362755026</c:v>
                </c:pt>
                <c:pt idx="33">
                  <c:v>1.5862510241513528</c:v>
                </c:pt>
                <c:pt idx="34">
                  <c:v>1.7013821468720154</c:v>
                </c:pt>
                <c:pt idx="35">
                  <c:v>1.7934870450485454</c:v>
                </c:pt>
                <c:pt idx="36">
                  <c:v>1.2280653090204021</c:v>
                </c:pt>
                <c:pt idx="37">
                  <c:v>1.5350816362755026</c:v>
                </c:pt>
                <c:pt idx="38">
                  <c:v>1.5862510241513528</c:v>
                </c:pt>
                <c:pt idx="39">
                  <c:v>1.2600670108841259</c:v>
                </c:pt>
                <c:pt idx="40">
                  <c:v>1.5488323675450713</c:v>
                </c:pt>
                <c:pt idx="41">
                  <c:v>1.5838342289585194</c:v>
                </c:pt>
                <c:pt idx="42">
                  <c:v>1.7150912092589492</c:v>
                </c:pt>
                <c:pt idx="43">
                  <c:v>2.6426405367153198</c:v>
                </c:pt>
                <c:pt idx="44">
                  <c:v>1.2600670108841259</c:v>
                </c:pt>
                <c:pt idx="45">
                  <c:v>1.5750837636051573</c:v>
                </c:pt>
                <c:pt idx="46">
                  <c:v>3.2770492748340638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89248"/>
        <c:axId val="123339904"/>
      </c:scatterChart>
      <c:valAx>
        <c:axId val="122789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39904"/>
        <c:crosses val="autoZero"/>
        <c:crossBetween val="midCat"/>
      </c:valAx>
      <c:valAx>
        <c:axId val="123339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7892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all_ex_postcap!$U$1</c:f>
              <c:strCache>
                <c:ptCount val="1"/>
                <c:pt idx="0">
                  <c:v>M/(pho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all_ex_postcap!$U$2:$U$53</c:f>
              <c:numCache>
                <c:formatCode>General</c:formatCode>
                <c:ptCount val="52"/>
                <c:pt idx="0">
                  <c:v>0.39569490311542593</c:v>
                </c:pt>
                <c:pt idx="1">
                  <c:v>0.41121235029642306</c:v>
                </c:pt>
                <c:pt idx="2">
                  <c:v>0.38793617952492737</c:v>
                </c:pt>
                <c:pt idx="3">
                  <c:v>0.4872478414833088</c:v>
                </c:pt>
                <c:pt idx="4">
                  <c:v>0.34914256157243467</c:v>
                </c:pt>
                <c:pt idx="5">
                  <c:v>0.39569490311542593</c:v>
                </c:pt>
                <c:pt idx="6">
                  <c:v>0.27931404925794773</c:v>
                </c:pt>
                <c:pt idx="7">
                  <c:v>0.27931627196333075</c:v>
                </c:pt>
                <c:pt idx="8">
                  <c:v>0.41947097020626428</c:v>
                </c:pt>
                <c:pt idx="9">
                  <c:v>0.34138655462184869</c:v>
                </c:pt>
                <c:pt idx="10">
                  <c:v>0.35380061115355227</c:v>
                </c:pt>
                <c:pt idx="11">
                  <c:v>0.42207792207792205</c:v>
                </c:pt>
                <c:pt idx="12">
                  <c:v>0.29173032849503433</c:v>
                </c:pt>
                <c:pt idx="13">
                  <c:v>0.40966386554621842</c:v>
                </c:pt>
                <c:pt idx="14">
                  <c:v>0.44069900687547742</c:v>
                </c:pt>
                <c:pt idx="15">
                  <c:v>0.41115355233002293</c:v>
                </c:pt>
                <c:pt idx="16">
                  <c:v>0.22841864018334607</c:v>
                </c:pt>
                <c:pt idx="17">
                  <c:v>0.34262796027501907</c:v>
                </c:pt>
                <c:pt idx="18">
                  <c:v>0.4200916730328495</c:v>
                </c:pt>
                <c:pt idx="19">
                  <c:v>0.24828113063407181</c:v>
                </c:pt>
                <c:pt idx="20">
                  <c:v>0.32276546982429333</c:v>
                </c:pt>
                <c:pt idx="21">
                  <c:v>0.42704354469060352</c:v>
                </c:pt>
                <c:pt idx="22">
                  <c:v>0.56608097784568367</c:v>
                </c:pt>
                <c:pt idx="23">
                  <c:v>0.43104401069873344</c:v>
                </c:pt>
                <c:pt idx="24">
                  <c:v>0.43707862684851573</c:v>
                </c:pt>
                <c:pt idx="25">
                  <c:v>0.38707752160746267</c:v>
                </c:pt>
                <c:pt idx="26">
                  <c:v>0.24586641673592813</c:v>
                </c:pt>
                <c:pt idx="27">
                  <c:v>0.29310863145236876</c:v>
                </c:pt>
                <c:pt idx="28">
                  <c:v>0.32414366301791364</c:v>
                </c:pt>
                <c:pt idx="29">
                  <c:v>0.42759376823639678</c:v>
                </c:pt>
                <c:pt idx="30">
                  <c:v>0.43621461033793701</c:v>
                </c:pt>
                <c:pt idx="31">
                  <c:v>0.3586270314240747</c:v>
                </c:pt>
                <c:pt idx="32">
                  <c:v>0.41380042087393232</c:v>
                </c:pt>
                <c:pt idx="33">
                  <c:v>0.42759376823639678</c:v>
                </c:pt>
                <c:pt idx="34">
                  <c:v>0.45862879980194166</c:v>
                </c:pt>
                <c:pt idx="35">
                  <c:v>0.48345682505437754</c:v>
                </c:pt>
                <c:pt idx="36">
                  <c:v>0.3310403366991459</c:v>
                </c:pt>
                <c:pt idx="37">
                  <c:v>0.41380042087393232</c:v>
                </c:pt>
                <c:pt idx="38">
                  <c:v>0.42759376823639678</c:v>
                </c:pt>
                <c:pt idx="39">
                  <c:v>0.31333540565744483</c:v>
                </c:pt>
                <c:pt idx="40">
                  <c:v>0.38514143612060925</c:v>
                </c:pt>
                <c:pt idx="41">
                  <c:v>0.39384519738887164</c:v>
                </c:pt>
                <c:pt idx="42">
                  <c:v>0.42648430214485544</c:v>
                </c:pt>
                <c:pt idx="43">
                  <c:v>0.65713397575380794</c:v>
                </c:pt>
                <c:pt idx="44">
                  <c:v>0.31333540565744483</c:v>
                </c:pt>
                <c:pt idx="45">
                  <c:v>0.39166925707180605</c:v>
                </c:pt>
                <c:pt idx="46">
                  <c:v>0.81488964874106307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55904"/>
        <c:axId val="123357440"/>
      </c:scatterChart>
      <c:valAx>
        <c:axId val="12335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57440"/>
        <c:crosses val="autoZero"/>
        <c:crossBetween val="midCat"/>
      </c:valAx>
      <c:valAx>
        <c:axId val="123357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55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all_ex_postcap!$L$2:$L$53</c:f>
              <c:numCache>
                <c:formatCode>General</c:formatCode>
                <c:ptCount val="52"/>
                <c:pt idx="0">
                  <c:v>1.5740740740740741E-3</c:v>
                </c:pt>
                <c:pt idx="1">
                  <c:v>1.6358024691358025E-3</c:v>
                </c:pt>
                <c:pt idx="2">
                  <c:v>1.5432098765432098E-3</c:v>
                </c:pt>
                <c:pt idx="3">
                  <c:v>1.9382716049382714E-3</c:v>
                </c:pt>
                <c:pt idx="4">
                  <c:v>1.3888888888888889E-3</c:v>
                </c:pt>
                <c:pt idx="5">
                  <c:v>1.5740740740740741E-3</c:v>
                </c:pt>
                <c:pt idx="6">
                  <c:v>1.1111111111111111E-3</c:v>
                </c:pt>
                <c:pt idx="7">
                  <c:v>1.0613207547169811E-3</c:v>
                </c:pt>
                <c:pt idx="8">
                  <c:v>1.5938679245283019E-3</c:v>
                </c:pt>
                <c:pt idx="9">
                  <c:v>1.2971698113207546E-3</c:v>
                </c:pt>
                <c:pt idx="10">
                  <c:v>1.3443396226415095E-3</c:v>
                </c:pt>
                <c:pt idx="11">
                  <c:v>1.6037735849056603E-3</c:v>
                </c:pt>
                <c:pt idx="12">
                  <c:v>1.1084905660377359E-3</c:v>
                </c:pt>
                <c:pt idx="13">
                  <c:v>1.5566037735849057E-3</c:v>
                </c:pt>
                <c:pt idx="14">
                  <c:v>1.6745283018867925E-3</c:v>
                </c:pt>
                <c:pt idx="15">
                  <c:v>1.4892086330935252E-3</c:v>
                </c:pt>
                <c:pt idx="16">
                  <c:v>8.2733812949640291E-4</c:v>
                </c:pt>
                <c:pt idx="17">
                  <c:v>1.2410071942446043E-3</c:v>
                </c:pt>
                <c:pt idx="18">
                  <c:v>1.5215827338129495E-3</c:v>
                </c:pt>
                <c:pt idx="19">
                  <c:v>8.9928057553956839E-4</c:v>
                </c:pt>
                <c:pt idx="20">
                  <c:v>1.1690647482014388E-3</c:v>
                </c:pt>
                <c:pt idx="21">
                  <c:v>1.5467625899280575E-3</c:v>
                </c:pt>
                <c:pt idx="22">
                  <c:v>2.0503597122302156E-3</c:v>
                </c:pt>
                <c:pt idx="23">
                  <c:v>1.5337423312883436E-3</c:v>
                </c:pt>
                <c:pt idx="24">
                  <c:v>1.5552147239263805E-3</c:v>
                </c:pt>
                <c:pt idx="25">
                  <c:v>1.3773006134969324E-3</c:v>
                </c:pt>
                <c:pt idx="26">
                  <c:v>8.4880952380952382E-4</c:v>
                </c:pt>
                <c:pt idx="27">
                  <c:v>1.0119047619047618E-3</c:v>
                </c:pt>
                <c:pt idx="28">
                  <c:v>1.1190476190476191E-3</c:v>
                </c:pt>
                <c:pt idx="29">
                  <c:v>1.4761904761904762E-3</c:v>
                </c:pt>
                <c:pt idx="30">
                  <c:v>1.505952380952381E-3</c:v>
                </c:pt>
                <c:pt idx="31">
                  <c:v>1.238095238095238E-3</c:v>
                </c:pt>
                <c:pt idx="32">
                  <c:v>1.4285714285714286E-3</c:v>
                </c:pt>
                <c:pt idx="33">
                  <c:v>1.4761904761904762E-3</c:v>
                </c:pt>
                <c:pt idx="34">
                  <c:v>1.5833333333333333E-3</c:v>
                </c:pt>
                <c:pt idx="35">
                  <c:v>1.6690476190476188E-3</c:v>
                </c:pt>
                <c:pt idx="36">
                  <c:v>1.1428571428571429E-3</c:v>
                </c:pt>
                <c:pt idx="37">
                  <c:v>1.4285714285714286E-3</c:v>
                </c:pt>
                <c:pt idx="38">
                  <c:v>1.4761904761904762E-3</c:v>
                </c:pt>
                <c:pt idx="39">
                  <c:v>1.1726384364820848E-3</c:v>
                </c:pt>
                <c:pt idx="40">
                  <c:v>1.4413680781758958E-3</c:v>
                </c:pt>
                <c:pt idx="41">
                  <c:v>1.4739413680781759E-3</c:v>
                </c:pt>
                <c:pt idx="42">
                  <c:v>1.5960912052117263E-3</c:v>
                </c:pt>
                <c:pt idx="43">
                  <c:v>2.4592833876221497E-3</c:v>
                </c:pt>
                <c:pt idx="44">
                  <c:v>1.1726384364820848E-3</c:v>
                </c:pt>
                <c:pt idx="45">
                  <c:v>1.4657980456026058E-3</c:v>
                </c:pt>
                <c:pt idx="46">
                  <c:v>3.0496742671009772E-3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377920"/>
        <c:axId val="123396096"/>
      </c:scatterChart>
      <c:valAx>
        <c:axId val="123377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96096"/>
        <c:crosses val="autoZero"/>
        <c:crossBetween val="midCat"/>
      </c:valAx>
      <c:valAx>
        <c:axId val="12339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779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all_ex_postcap!$M$2:$M$53</c:f>
              <c:numCache>
                <c:formatCode>General</c:formatCode>
                <c:ptCount val="52"/>
                <c:pt idx="0">
                  <c:v>0.61388888888888893</c:v>
                </c:pt>
                <c:pt idx="1">
                  <c:v>0.63796296296296295</c:v>
                </c:pt>
                <c:pt idx="2">
                  <c:v>0.60185185185185186</c:v>
                </c:pt>
                <c:pt idx="3">
                  <c:v>0.75592592592592589</c:v>
                </c:pt>
                <c:pt idx="4">
                  <c:v>0.54166666666666663</c:v>
                </c:pt>
                <c:pt idx="5">
                  <c:v>0.61388888888888893</c:v>
                </c:pt>
                <c:pt idx="6">
                  <c:v>0.43333333333333335</c:v>
                </c:pt>
                <c:pt idx="7">
                  <c:v>0.41391509433962265</c:v>
                </c:pt>
                <c:pt idx="8">
                  <c:v>0.62160849056603773</c:v>
                </c:pt>
                <c:pt idx="9">
                  <c:v>0.50589622641509435</c:v>
                </c:pt>
                <c:pt idx="10">
                  <c:v>0.52429245283018866</c:v>
                </c:pt>
                <c:pt idx="11">
                  <c:v>0.62547169811320757</c:v>
                </c:pt>
                <c:pt idx="12">
                  <c:v>0.43231132075471695</c:v>
                </c:pt>
                <c:pt idx="13">
                  <c:v>0.60707547169811316</c:v>
                </c:pt>
                <c:pt idx="14">
                  <c:v>0.65306603773584904</c:v>
                </c:pt>
                <c:pt idx="15">
                  <c:v>0.58079136690647482</c:v>
                </c:pt>
                <c:pt idx="16">
                  <c:v>0.32266187050359713</c:v>
                </c:pt>
                <c:pt idx="17">
                  <c:v>0.48399280575539566</c:v>
                </c:pt>
                <c:pt idx="18">
                  <c:v>0.59341726618705037</c:v>
                </c:pt>
                <c:pt idx="19">
                  <c:v>0.35071942446043164</c:v>
                </c:pt>
                <c:pt idx="20">
                  <c:v>0.45593525179856115</c:v>
                </c:pt>
                <c:pt idx="21">
                  <c:v>0.60323741007194243</c:v>
                </c:pt>
                <c:pt idx="22">
                  <c:v>0.79964028776978413</c:v>
                </c:pt>
                <c:pt idx="23">
                  <c:v>0.59815950920245398</c:v>
                </c:pt>
                <c:pt idx="24">
                  <c:v>0.60653374233128832</c:v>
                </c:pt>
                <c:pt idx="25">
                  <c:v>0.5371472392638037</c:v>
                </c:pt>
                <c:pt idx="26">
                  <c:v>0.33103571428571427</c:v>
                </c:pt>
                <c:pt idx="27">
                  <c:v>0.39464285714285713</c:v>
                </c:pt>
                <c:pt idx="28">
                  <c:v>0.43642857142857144</c:v>
                </c:pt>
                <c:pt idx="29">
                  <c:v>0.57571428571428573</c:v>
                </c:pt>
                <c:pt idx="30">
                  <c:v>0.58732142857142855</c:v>
                </c:pt>
                <c:pt idx="31">
                  <c:v>0.48285714285714287</c:v>
                </c:pt>
                <c:pt idx="32">
                  <c:v>0.55714285714285716</c:v>
                </c:pt>
                <c:pt idx="33">
                  <c:v>0.57571428571428573</c:v>
                </c:pt>
                <c:pt idx="34">
                  <c:v>0.61750000000000005</c:v>
                </c:pt>
                <c:pt idx="35">
                  <c:v>0.6509285714285713</c:v>
                </c:pt>
                <c:pt idx="36">
                  <c:v>0.44571428571428573</c:v>
                </c:pt>
                <c:pt idx="37">
                  <c:v>0.55714285714285716</c:v>
                </c:pt>
                <c:pt idx="38">
                  <c:v>0.57571428571428573</c:v>
                </c:pt>
                <c:pt idx="39">
                  <c:v>0.41042345276872966</c:v>
                </c:pt>
                <c:pt idx="40">
                  <c:v>0.50447882736156346</c:v>
                </c:pt>
                <c:pt idx="41">
                  <c:v>0.51587947882736152</c:v>
                </c:pt>
                <c:pt idx="42">
                  <c:v>0.55863192182410426</c:v>
                </c:pt>
                <c:pt idx="43">
                  <c:v>0.86074918566775249</c:v>
                </c:pt>
                <c:pt idx="44">
                  <c:v>0.41042345276872966</c:v>
                </c:pt>
                <c:pt idx="45">
                  <c:v>0.51302931596091206</c:v>
                </c:pt>
                <c:pt idx="46">
                  <c:v>1.067385993485342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28160"/>
        <c:axId val="123229696"/>
      </c:scatterChart>
      <c:valAx>
        <c:axId val="1232281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29696"/>
        <c:crosses val="autoZero"/>
        <c:crossBetween val="midCat"/>
      </c:valAx>
      <c:valAx>
        <c:axId val="123229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28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all_ex_postcap!$W$2:$W$53</c:f>
              <c:numCache>
                <c:formatCode>General</c:formatCode>
                <c:ptCount val="52"/>
                <c:pt idx="0">
                  <c:v>0.96226415094339623</c:v>
                </c:pt>
                <c:pt idx="1">
                  <c:v>1</c:v>
                </c:pt>
                <c:pt idx="2">
                  <c:v>0.79617834394904463</c:v>
                </c:pt>
                <c:pt idx="3">
                  <c:v>1</c:v>
                </c:pt>
                <c:pt idx="4">
                  <c:v>0.88235294117647056</c:v>
                </c:pt>
                <c:pt idx="5">
                  <c:v>1</c:v>
                </c:pt>
                <c:pt idx="6">
                  <c:v>0.70588235294117652</c:v>
                </c:pt>
                <c:pt idx="7">
                  <c:v>0.66587747854394785</c:v>
                </c:pt>
                <c:pt idx="8">
                  <c:v>1</c:v>
                </c:pt>
                <c:pt idx="9">
                  <c:v>0.80882352941176472</c:v>
                </c:pt>
                <c:pt idx="10">
                  <c:v>0.83823529411764708</c:v>
                </c:pt>
                <c:pt idx="11">
                  <c:v>1</c:v>
                </c:pt>
                <c:pt idx="12">
                  <c:v>0.6619718309859155</c:v>
                </c:pt>
                <c:pt idx="13">
                  <c:v>0.92957746478873238</c:v>
                </c:pt>
                <c:pt idx="14">
                  <c:v>1</c:v>
                </c:pt>
                <c:pt idx="15">
                  <c:v>1</c:v>
                </c:pt>
                <c:pt idx="16">
                  <c:v>0.54373522458628842</c:v>
                </c:pt>
                <c:pt idx="17">
                  <c:v>0.81560283687943258</c:v>
                </c:pt>
                <c:pt idx="18">
                  <c:v>1</c:v>
                </c:pt>
                <c:pt idx="19">
                  <c:v>0.43859649122807015</c:v>
                </c:pt>
                <c:pt idx="20">
                  <c:v>0.57017543859649122</c:v>
                </c:pt>
                <c:pt idx="21">
                  <c:v>0.75438596491228072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0.5636363636363636</c:v>
                </c:pt>
                <c:pt idx="27">
                  <c:v>0.67193675889328064</c:v>
                </c:pt>
                <c:pt idx="28">
                  <c:v>0.74308300395256921</c:v>
                </c:pt>
                <c:pt idx="29">
                  <c:v>0.98023715415019763</c:v>
                </c:pt>
                <c:pt idx="30">
                  <c:v>1</c:v>
                </c:pt>
                <c:pt idx="31">
                  <c:v>0.74179743223965777</c:v>
                </c:pt>
                <c:pt idx="32">
                  <c:v>0.85592011412268199</c:v>
                </c:pt>
                <c:pt idx="33">
                  <c:v>0.88445078459343807</c:v>
                </c:pt>
                <c:pt idx="34">
                  <c:v>0.94864479315263917</c:v>
                </c:pt>
                <c:pt idx="35">
                  <c:v>1</c:v>
                </c:pt>
                <c:pt idx="36">
                  <c:v>0.77419354838709675</c:v>
                </c:pt>
                <c:pt idx="37">
                  <c:v>0.967741935483871</c:v>
                </c:pt>
                <c:pt idx="38">
                  <c:v>1</c:v>
                </c:pt>
                <c:pt idx="39">
                  <c:v>0.47682119205298013</c:v>
                </c:pt>
                <c:pt idx="40">
                  <c:v>0.58609271523178808</c:v>
                </c:pt>
                <c:pt idx="41">
                  <c:v>0.59933774834437081</c:v>
                </c:pt>
                <c:pt idx="42">
                  <c:v>0.64900662251655628</c:v>
                </c:pt>
                <c:pt idx="43">
                  <c:v>1</c:v>
                </c:pt>
                <c:pt idx="44">
                  <c:v>0.38451268357810414</c:v>
                </c:pt>
                <c:pt idx="45">
                  <c:v>0.48064085447263016</c:v>
                </c:pt>
                <c:pt idx="4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808"/>
        <c:axId val="123265792"/>
      </c:scatterChart>
      <c:valAx>
        <c:axId val="123255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65792"/>
        <c:crosses val="autoZero"/>
        <c:crossBetween val="midCat"/>
      </c:valAx>
      <c:valAx>
        <c:axId val="12326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558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all_ex_postcap!$D$2:$D$53</c:f>
              <c:numCache>
                <c:formatCode>General</c:formatCode>
                <c:ptCount val="52"/>
                <c:pt idx="0">
                  <c:v>4.8148148148148149</c:v>
                </c:pt>
                <c:pt idx="1">
                  <c:v>4.8148148148148149</c:v>
                </c:pt>
                <c:pt idx="2">
                  <c:v>4.8148148148148149</c:v>
                </c:pt>
                <c:pt idx="3">
                  <c:v>4.8148148148148149</c:v>
                </c:pt>
                <c:pt idx="4">
                  <c:v>4.8148148148148149</c:v>
                </c:pt>
                <c:pt idx="5">
                  <c:v>4.8148148148148149</c:v>
                </c:pt>
                <c:pt idx="6">
                  <c:v>4.8148148148148149</c:v>
                </c:pt>
                <c:pt idx="7">
                  <c:v>3.6792452830188678</c:v>
                </c:pt>
                <c:pt idx="8">
                  <c:v>3.6792452830188678</c:v>
                </c:pt>
                <c:pt idx="9">
                  <c:v>3.6792452830188678</c:v>
                </c:pt>
                <c:pt idx="10">
                  <c:v>3.6792452830188678</c:v>
                </c:pt>
                <c:pt idx="11">
                  <c:v>3.6792452830188678</c:v>
                </c:pt>
                <c:pt idx="12">
                  <c:v>3.6792452830188678</c:v>
                </c:pt>
                <c:pt idx="13">
                  <c:v>3.6792452830188678</c:v>
                </c:pt>
                <c:pt idx="14">
                  <c:v>3.6792452830188678</c:v>
                </c:pt>
                <c:pt idx="15">
                  <c:v>2.8057553956834531</c:v>
                </c:pt>
                <c:pt idx="16">
                  <c:v>2.8057553956834531</c:v>
                </c:pt>
                <c:pt idx="17">
                  <c:v>2.8057553956834531</c:v>
                </c:pt>
                <c:pt idx="18">
                  <c:v>2.8057553956834531</c:v>
                </c:pt>
                <c:pt idx="19">
                  <c:v>2.8057553956834531</c:v>
                </c:pt>
                <c:pt idx="20">
                  <c:v>2.8057553956834531</c:v>
                </c:pt>
                <c:pt idx="21">
                  <c:v>2.8057553956834531</c:v>
                </c:pt>
                <c:pt idx="22">
                  <c:v>2.8057553956834531</c:v>
                </c:pt>
                <c:pt idx="23">
                  <c:v>2.3926380368098159</c:v>
                </c:pt>
                <c:pt idx="24">
                  <c:v>2.3926380368098159</c:v>
                </c:pt>
                <c:pt idx="25">
                  <c:v>2.3926380368098159</c:v>
                </c:pt>
                <c:pt idx="26">
                  <c:v>1.8571428571428572</c:v>
                </c:pt>
                <c:pt idx="27">
                  <c:v>1.8571428571428572</c:v>
                </c:pt>
                <c:pt idx="28">
                  <c:v>1.8571428571428572</c:v>
                </c:pt>
                <c:pt idx="29">
                  <c:v>1.8571428571428572</c:v>
                </c:pt>
                <c:pt idx="30">
                  <c:v>1.8571428571428572</c:v>
                </c:pt>
                <c:pt idx="31">
                  <c:v>1.8571428571428572</c:v>
                </c:pt>
                <c:pt idx="32">
                  <c:v>1.8571428571428572</c:v>
                </c:pt>
                <c:pt idx="33">
                  <c:v>1.8571428571428572</c:v>
                </c:pt>
                <c:pt idx="34">
                  <c:v>1.8571428571428572</c:v>
                </c:pt>
                <c:pt idx="35">
                  <c:v>1.8571428571428572</c:v>
                </c:pt>
                <c:pt idx="36">
                  <c:v>1.8571428571428572</c:v>
                </c:pt>
                <c:pt idx="37">
                  <c:v>1.8571428571428572</c:v>
                </c:pt>
                <c:pt idx="38">
                  <c:v>1.8571428571428572</c:v>
                </c:pt>
                <c:pt idx="39">
                  <c:v>1.1400651465798046</c:v>
                </c:pt>
                <c:pt idx="40">
                  <c:v>1.1400651465798046</c:v>
                </c:pt>
                <c:pt idx="41">
                  <c:v>1.1400651465798046</c:v>
                </c:pt>
                <c:pt idx="42">
                  <c:v>1.1400651465798046</c:v>
                </c:pt>
                <c:pt idx="43">
                  <c:v>1.1400651465798046</c:v>
                </c:pt>
                <c:pt idx="44">
                  <c:v>1.1400651465798046</c:v>
                </c:pt>
                <c:pt idx="45">
                  <c:v>1.1400651465798046</c:v>
                </c:pt>
                <c:pt idx="46">
                  <c:v>1.1400651465798046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53920"/>
        <c:axId val="123955456"/>
      </c:scatterChart>
      <c:valAx>
        <c:axId val="123953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955456"/>
        <c:crosses val="autoZero"/>
        <c:crossBetween val="midCat"/>
      </c:valAx>
      <c:valAx>
        <c:axId val="12395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53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all_ex_postcap!$Z$1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all_ex_postcap!$Z$2:$Z$53</c:f>
              <c:numCache>
                <c:formatCode>General</c:formatCode>
                <c:ptCount val="52"/>
                <c:pt idx="0">
                  <c:v>81</c:v>
                </c:pt>
                <c:pt idx="1">
                  <c:v>81</c:v>
                </c:pt>
                <c:pt idx="2">
                  <c:v>81</c:v>
                </c:pt>
                <c:pt idx="3">
                  <c:v>81</c:v>
                </c:pt>
                <c:pt idx="4">
                  <c:v>81</c:v>
                </c:pt>
                <c:pt idx="5">
                  <c:v>81</c:v>
                </c:pt>
                <c:pt idx="6">
                  <c:v>81</c:v>
                </c:pt>
                <c:pt idx="7">
                  <c:v>106</c:v>
                </c:pt>
                <c:pt idx="8">
                  <c:v>106</c:v>
                </c:pt>
                <c:pt idx="9">
                  <c:v>106</c:v>
                </c:pt>
                <c:pt idx="10">
                  <c:v>106</c:v>
                </c:pt>
                <c:pt idx="11">
                  <c:v>106</c:v>
                </c:pt>
                <c:pt idx="12">
                  <c:v>106</c:v>
                </c:pt>
                <c:pt idx="13">
                  <c:v>106</c:v>
                </c:pt>
                <c:pt idx="14">
                  <c:v>106</c:v>
                </c:pt>
                <c:pt idx="15">
                  <c:v>139</c:v>
                </c:pt>
                <c:pt idx="16">
                  <c:v>139</c:v>
                </c:pt>
                <c:pt idx="17">
                  <c:v>139</c:v>
                </c:pt>
                <c:pt idx="18">
                  <c:v>139</c:v>
                </c:pt>
                <c:pt idx="19">
                  <c:v>139</c:v>
                </c:pt>
                <c:pt idx="20">
                  <c:v>139</c:v>
                </c:pt>
                <c:pt idx="21">
                  <c:v>139</c:v>
                </c:pt>
                <c:pt idx="22">
                  <c:v>139</c:v>
                </c:pt>
                <c:pt idx="23">
                  <c:v>163</c:v>
                </c:pt>
                <c:pt idx="24">
                  <c:v>163</c:v>
                </c:pt>
                <c:pt idx="25">
                  <c:v>163</c:v>
                </c:pt>
                <c:pt idx="26">
                  <c:v>210</c:v>
                </c:pt>
                <c:pt idx="27">
                  <c:v>210</c:v>
                </c:pt>
                <c:pt idx="28">
                  <c:v>210</c:v>
                </c:pt>
                <c:pt idx="29">
                  <c:v>210</c:v>
                </c:pt>
                <c:pt idx="30">
                  <c:v>210</c:v>
                </c:pt>
                <c:pt idx="31">
                  <c:v>210</c:v>
                </c:pt>
                <c:pt idx="32">
                  <c:v>210</c:v>
                </c:pt>
                <c:pt idx="33">
                  <c:v>210</c:v>
                </c:pt>
                <c:pt idx="34">
                  <c:v>210</c:v>
                </c:pt>
                <c:pt idx="35">
                  <c:v>210</c:v>
                </c:pt>
                <c:pt idx="36">
                  <c:v>210</c:v>
                </c:pt>
                <c:pt idx="37">
                  <c:v>210</c:v>
                </c:pt>
                <c:pt idx="38">
                  <c:v>210</c:v>
                </c:pt>
                <c:pt idx="39">
                  <c:v>307</c:v>
                </c:pt>
                <c:pt idx="40">
                  <c:v>307</c:v>
                </c:pt>
                <c:pt idx="41">
                  <c:v>307</c:v>
                </c:pt>
                <c:pt idx="42">
                  <c:v>307</c:v>
                </c:pt>
                <c:pt idx="43">
                  <c:v>307</c:v>
                </c:pt>
                <c:pt idx="44">
                  <c:v>307</c:v>
                </c:pt>
                <c:pt idx="45">
                  <c:v>307</c:v>
                </c:pt>
                <c:pt idx="46">
                  <c:v>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979648"/>
        <c:axId val="123981184"/>
      </c:scatterChart>
      <c:valAx>
        <c:axId val="123979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981184"/>
        <c:crosses val="autoZero"/>
        <c:crossBetween val="midCat"/>
      </c:valAx>
      <c:valAx>
        <c:axId val="123981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796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all_ex_postcap!$AG$1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>
              <a:noFill/>
            </a:ln>
          </c:spPr>
          <c:yVal>
            <c:numRef>
              <c:f>all_ex_postcap!$AG$2:$AG$53</c:f>
              <c:numCache>
                <c:formatCode>General</c:formatCode>
                <c:ptCount val="52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59712"/>
        <c:axId val="124273792"/>
      </c:scatterChart>
      <c:valAx>
        <c:axId val="124259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24273792"/>
        <c:crosses val="autoZero"/>
        <c:crossBetween val="midCat"/>
      </c:valAx>
      <c:valAx>
        <c:axId val="124273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259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Purdu!$W$2:$W$57</c:f>
              <c:numCache>
                <c:formatCode>General</c:formatCode>
                <c:ptCount val="56"/>
                <c:pt idx="0">
                  <c:v>0.43181818181818182</c:v>
                </c:pt>
                <c:pt idx="1">
                  <c:v>0.58333333333333337</c:v>
                </c:pt>
                <c:pt idx="2">
                  <c:v>0.71969696969696972</c:v>
                </c:pt>
                <c:pt idx="3">
                  <c:v>0.78787878787878796</c:v>
                </c:pt>
                <c:pt idx="4">
                  <c:v>0.86363636363636365</c:v>
                </c:pt>
                <c:pt idx="5">
                  <c:v>0.93939393939393934</c:v>
                </c:pt>
                <c:pt idx="6">
                  <c:v>1.0151515151515151</c:v>
                </c:pt>
                <c:pt idx="7">
                  <c:v>1.053030303030303</c:v>
                </c:pt>
                <c:pt idx="8">
                  <c:v>1.106060606060606</c:v>
                </c:pt>
                <c:pt idx="9">
                  <c:v>0.43181818181818182</c:v>
                </c:pt>
                <c:pt idx="10">
                  <c:v>0.57575757575757569</c:v>
                </c:pt>
                <c:pt idx="11">
                  <c:v>0.71969696969696972</c:v>
                </c:pt>
                <c:pt idx="12">
                  <c:v>0.79545454545454541</c:v>
                </c:pt>
                <c:pt idx="13">
                  <c:v>0.86363636363636365</c:v>
                </c:pt>
                <c:pt idx="14">
                  <c:v>0.93939393939393934</c:v>
                </c:pt>
                <c:pt idx="15">
                  <c:v>1</c:v>
                </c:pt>
                <c:pt idx="16">
                  <c:v>0.46764705882352942</c:v>
                </c:pt>
                <c:pt idx="17">
                  <c:v>0.54999999999999993</c:v>
                </c:pt>
                <c:pt idx="18">
                  <c:v>0.62941176470588234</c:v>
                </c:pt>
                <c:pt idx="19">
                  <c:v>0.71176470588235285</c:v>
                </c:pt>
                <c:pt idx="20">
                  <c:v>0.79411764705882348</c:v>
                </c:pt>
                <c:pt idx="21">
                  <c:v>0.9323529411764705</c:v>
                </c:pt>
                <c:pt idx="22">
                  <c:v>1</c:v>
                </c:pt>
                <c:pt idx="23">
                  <c:v>0.51749999999999996</c:v>
                </c:pt>
                <c:pt idx="24">
                  <c:v>0.59250000000000003</c:v>
                </c:pt>
                <c:pt idx="25">
                  <c:v>0.66749999999999998</c:v>
                </c:pt>
                <c:pt idx="26">
                  <c:v>0.74500000000000011</c:v>
                </c:pt>
                <c:pt idx="27">
                  <c:v>0.87</c:v>
                </c:pt>
                <c:pt idx="28">
                  <c:v>1</c:v>
                </c:pt>
                <c:pt idx="29">
                  <c:v>0.4181818181818181</c:v>
                </c:pt>
                <c:pt idx="30">
                  <c:v>0.48636363636363633</c:v>
                </c:pt>
                <c:pt idx="31">
                  <c:v>0.55681818181818177</c:v>
                </c:pt>
                <c:pt idx="32">
                  <c:v>0.625</c:v>
                </c:pt>
                <c:pt idx="33">
                  <c:v>0.69318181818181812</c:v>
                </c:pt>
                <c:pt idx="34">
                  <c:v>0.80909090909090897</c:v>
                </c:pt>
                <c:pt idx="35">
                  <c:v>0.92272727272727273</c:v>
                </c:pt>
                <c:pt idx="36">
                  <c:v>1</c:v>
                </c:pt>
                <c:pt idx="37">
                  <c:v>0.46923076923076928</c:v>
                </c:pt>
                <c:pt idx="38">
                  <c:v>0.54615384615384632</c:v>
                </c:pt>
                <c:pt idx="39">
                  <c:v>0.62564102564102564</c:v>
                </c:pt>
                <c:pt idx="40">
                  <c:v>0.70256410256410262</c:v>
                </c:pt>
                <c:pt idx="41">
                  <c:v>0.78205128205128216</c:v>
                </c:pt>
                <c:pt idx="42">
                  <c:v>0.91025641025641035</c:v>
                </c:pt>
                <c:pt idx="43">
                  <c:v>1</c:v>
                </c:pt>
                <c:pt idx="44">
                  <c:v>0.69545454545454544</c:v>
                </c:pt>
                <c:pt idx="45">
                  <c:v>0.83181818181818179</c:v>
                </c:pt>
                <c:pt idx="46">
                  <c:v>0.96818181818181825</c:v>
                </c:pt>
                <c:pt idx="47">
                  <c:v>1</c:v>
                </c:pt>
                <c:pt idx="48">
                  <c:v>0.66521739130434787</c:v>
                </c:pt>
                <c:pt idx="49">
                  <c:v>0.79565217391304355</c:v>
                </c:pt>
                <c:pt idx="50">
                  <c:v>0.93043478260869572</c:v>
                </c:pt>
                <c:pt idx="5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123200"/>
        <c:axId val="125141376"/>
      </c:scatterChart>
      <c:valAx>
        <c:axId val="12512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5141376"/>
        <c:crosses val="autoZero"/>
        <c:crossBetween val="midCat"/>
      </c:valAx>
      <c:valAx>
        <c:axId val="125141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123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Purdu!$V$2:$V$57</c:f>
              <c:numCache>
                <c:formatCode>General</c:formatCode>
                <c:ptCount val="56"/>
                <c:pt idx="0">
                  <c:v>0.80418103516379902</c:v>
                </c:pt>
                <c:pt idx="1">
                  <c:v>1.0863498194317986</c:v>
                </c:pt>
                <c:pt idx="2">
                  <c:v>1.3403017252729983</c:v>
                </c:pt>
                <c:pt idx="3">
                  <c:v>1.4672776781935981</c:v>
                </c:pt>
                <c:pt idx="4">
                  <c:v>1.608362070327598</c:v>
                </c:pt>
                <c:pt idx="5">
                  <c:v>1.7494464624615977</c:v>
                </c:pt>
                <c:pt idx="6">
                  <c:v>1.8905308545955977</c:v>
                </c:pt>
                <c:pt idx="7">
                  <c:v>1.9610730506625975</c:v>
                </c:pt>
                <c:pt idx="8">
                  <c:v>2.0598321251563974</c:v>
                </c:pt>
                <c:pt idx="9">
                  <c:v>0.7038533961982727</c:v>
                </c:pt>
                <c:pt idx="10">
                  <c:v>0.93847119493103015</c:v>
                </c:pt>
                <c:pt idx="11">
                  <c:v>1.1730889936637878</c:v>
                </c:pt>
                <c:pt idx="12">
                  <c:v>1.2965720456283969</c:v>
                </c:pt>
                <c:pt idx="13">
                  <c:v>1.4077067923965454</c:v>
                </c:pt>
                <c:pt idx="14">
                  <c:v>1.5311898443611545</c:v>
                </c:pt>
                <c:pt idx="15">
                  <c:v>1.6299762859328422</c:v>
                </c:pt>
                <c:pt idx="16">
                  <c:v>1.4020261468316235</c:v>
                </c:pt>
                <c:pt idx="17">
                  <c:v>1.6489238330661229</c:v>
                </c:pt>
                <c:pt idx="18">
                  <c:v>1.8870037447922479</c:v>
                </c:pt>
                <c:pt idx="19">
                  <c:v>2.1339014310267475</c:v>
                </c:pt>
                <c:pt idx="20">
                  <c:v>2.3807991172612475</c:v>
                </c:pt>
                <c:pt idx="21">
                  <c:v>2.7952345191548718</c:v>
                </c:pt>
                <c:pt idx="22">
                  <c:v>2.9980433328474971</c:v>
                </c:pt>
                <c:pt idx="23">
                  <c:v>1.8252793232336229</c:v>
                </c:pt>
                <c:pt idx="24">
                  <c:v>2.0898125584848728</c:v>
                </c:pt>
                <c:pt idx="25">
                  <c:v>2.3543457937361221</c:v>
                </c:pt>
                <c:pt idx="26">
                  <c:v>2.6276968034957475</c:v>
                </c:pt>
                <c:pt idx="27">
                  <c:v>3.0685855289144963</c:v>
                </c:pt>
                <c:pt idx="28">
                  <c:v>3.5271098033499961</c:v>
                </c:pt>
                <c:pt idx="29">
                  <c:v>1.3907461861769692</c:v>
                </c:pt>
                <c:pt idx="30">
                  <c:v>1.6174982817493013</c:v>
                </c:pt>
                <c:pt idx="31">
                  <c:v>1.851808780507378</c:v>
                </c:pt>
                <c:pt idx="32">
                  <c:v>2.0785608760797096</c:v>
                </c:pt>
                <c:pt idx="33">
                  <c:v>2.3053129716520417</c:v>
                </c:pt>
                <c:pt idx="34">
                  <c:v>2.6907915341250064</c:v>
                </c:pt>
                <c:pt idx="35">
                  <c:v>3.0687116934122263</c:v>
                </c:pt>
                <c:pt idx="36">
                  <c:v>3.3256974017275356</c:v>
                </c:pt>
                <c:pt idx="37">
                  <c:v>1.4123374068452184</c:v>
                </c:pt>
                <c:pt idx="38">
                  <c:v>1.6438681292788608</c:v>
                </c:pt>
                <c:pt idx="39">
                  <c:v>1.8831165424602909</c:v>
                </c:pt>
                <c:pt idx="40">
                  <c:v>2.1146472648939332</c:v>
                </c:pt>
                <c:pt idx="41">
                  <c:v>2.3538956780753639</c:v>
                </c:pt>
                <c:pt idx="42">
                  <c:v>2.7397802154647679</c:v>
                </c:pt>
                <c:pt idx="43">
                  <c:v>3.0098993916373504</c:v>
                </c:pt>
                <c:pt idx="44">
                  <c:v>1.5584570430019853</c:v>
                </c:pt>
                <c:pt idx="45">
                  <c:v>1.8640368553553155</c:v>
                </c:pt>
                <c:pt idx="46">
                  <c:v>2.1696166677086461</c:v>
                </c:pt>
                <c:pt idx="47">
                  <c:v>2.240918623924423</c:v>
                </c:pt>
                <c:pt idx="48">
                  <c:v>1.5299338500518322</c:v>
                </c:pt>
                <c:pt idx="49">
                  <c:v>1.8299208794737598</c:v>
                </c:pt>
                <c:pt idx="50">
                  <c:v>2.139907476543085</c:v>
                </c:pt>
                <c:pt idx="51">
                  <c:v>2.2999005589014465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34560"/>
        <c:axId val="125169664"/>
      </c:scatterChart>
      <c:valAx>
        <c:axId val="12323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5169664"/>
        <c:crosses val="autoZero"/>
        <c:crossBetween val="midCat"/>
      </c:valAx>
      <c:valAx>
        <c:axId val="125169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345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Purdu!$Z$1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Purdu!$Z$2:$Z$57</c:f>
              <c:numCache>
                <c:formatCode>General</c:formatCode>
                <c:ptCount val="56"/>
                <c:pt idx="0">
                  <c:v>666.75</c:v>
                </c:pt>
                <c:pt idx="1">
                  <c:v>666.75</c:v>
                </c:pt>
                <c:pt idx="2">
                  <c:v>666.75</c:v>
                </c:pt>
                <c:pt idx="3">
                  <c:v>666.75</c:v>
                </c:pt>
                <c:pt idx="4">
                  <c:v>666.75</c:v>
                </c:pt>
                <c:pt idx="5">
                  <c:v>666.75</c:v>
                </c:pt>
                <c:pt idx="6">
                  <c:v>666.75</c:v>
                </c:pt>
                <c:pt idx="7">
                  <c:v>666.75</c:v>
                </c:pt>
                <c:pt idx="8">
                  <c:v>666.75</c:v>
                </c:pt>
                <c:pt idx="9">
                  <c:v>666.75</c:v>
                </c:pt>
                <c:pt idx="10">
                  <c:v>666.75</c:v>
                </c:pt>
                <c:pt idx="11">
                  <c:v>666.75</c:v>
                </c:pt>
                <c:pt idx="12">
                  <c:v>666.75</c:v>
                </c:pt>
                <c:pt idx="13">
                  <c:v>666.75</c:v>
                </c:pt>
                <c:pt idx="14">
                  <c:v>666.75</c:v>
                </c:pt>
                <c:pt idx="15">
                  <c:v>666.75</c:v>
                </c:pt>
                <c:pt idx="16">
                  <c:v>266.7</c:v>
                </c:pt>
                <c:pt idx="17">
                  <c:v>266.7</c:v>
                </c:pt>
                <c:pt idx="18">
                  <c:v>266.7</c:v>
                </c:pt>
                <c:pt idx="19">
                  <c:v>266.7</c:v>
                </c:pt>
                <c:pt idx="20">
                  <c:v>266.7</c:v>
                </c:pt>
                <c:pt idx="21">
                  <c:v>266.7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  <c:pt idx="36">
                  <c:v>266.7</c:v>
                </c:pt>
                <c:pt idx="37">
                  <c:v>266.7</c:v>
                </c:pt>
                <c:pt idx="38">
                  <c:v>266.7</c:v>
                </c:pt>
                <c:pt idx="39">
                  <c:v>266.7</c:v>
                </c:pt>
                <c:pt idx="40">
                  <c:v>266.7</c:v>
                </c:pt>
                <c:pt idx="41">
                  <c:v>266.7</c:v>
                </c:pt>
                <c:pt idx="42">
                  <c:v>266.7</c:v>
                </c:pt>
                <c:pt idx="43">
                  <c:v>266.7</c:v>
                </c:pt>
                <c:pt idx="44">
                  <c:v>266.7</c:v>
                </c:pt>
                <c:pt idx="45">
                  <c:v>266.7</c:v>
                </c:pt>
                <c:pt idx="46">
                  <c:v>266.7</c:v>
                </c:pt>
                <c:pt idx="47">
                  <c:v>266.7</c:v>
                </c:pt>
                <c:pt idx="48">
                  <c:v>266.7</c:v>
                </c:pt>
                <c:pt idx="49">
                  <c:v>266.7</c:v>
                </c:pt>
                <c:pt idx="50">
                  <c:v>266.7</c:v>
                </c:pt>
                <c:pt idx="51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63488"/>
        <c:axId val="123665024"/>
      </c:scatterChart>
      <c:valAx>
        <c:axId val="1236634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665024"/>
        <c:crosses val="autoZero"/>
        <c:crossBetween val="midCat"/>
      </c:valAx>
      <c:valAx>
        <c:axId val="12366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663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Purdu_ex_deep!$V$2:$V$57</c:f>
              <c:numCache>
                <c:formatCode>General</c:formatCode>
                <c:ptCount val="56"/>
                <c:pt idx="0">
                  <c:v>1.4020261468316235</c:v>
                </c:pt>
                <c:pt idx="1">
                  <c:v>1.6489238330661229</c:v>
                </c:pt>
                <c:pt idx="2">
                  <c:v>1.8870037447922479</c:v>
                </c:pt>
                <c:pt idx="3">
                  <c:v>2.1339014310267475</c:v>
                </c:pt>
                <c:pt idx="4">
                  <c:v>2.3807991172612475</c:v>
                </c:pt>
                <c:pt idx="5">
                  <c:v>2.7952345191548718</c:v>
                </c:pt>
                <c:pt idx="6">
                  <c:v>2.9980433328474971</c:v>
                </c:pt>
                <c:pt idx="7">
                  <c:v>1.8252793232336229</c:v>
                </c:pt>
                <c:pt idx="8">
                  <c:v>2.0898125584848728</c:v>
                </c:pt>
                <c:pt idx="9">
                  <c:v>2.3543457937361221</c:v>
                </c:pt>
                <c:pt idx="10">
                  <c:v>2.6276968034957475</c:v>
                </c:pt>
                <c:pt idx="11">
                  <c:v>3.0685855289144963</c:v>
                </c:pt>
                <c:pt idx="12">
                  <c:v>3.5271098033499961</c:v>
                </c:pt>
                <c:pt idx="13">
                  <c:v>1.3907461861769692</c:v>
                </c:pt>
                <c:pt idx="14">
                  <c:v>1.6174982817493013</c:v>
                </c:pt>
                <c:pt idx="15">
                  <c:v>1.851808780507378</c:v>
                </c:pt>
                <c:pt idx="16">
                  <c:v>2.0785608760797096</c:v>
                </c:pt>
                <c:pt idx="17">
                  <c:v>2.3053129716520417</c:v>
                </c:pt>
                <c:pt idx="18">
                  <c:v>2.6907915341250064</c:v>
                </c:pt>
                <c:pt idx="19">
                  <c:v>3.0687116934122263</c:v>
                </c:pt>
                <c:pt idx="20">
                  <c:v>3.3256974017275356</c:v>
                </c:pt>
                <c:pt idx="21">
                  <c:v>1.4123374068452184</c:v>
                </c:pt>
                <c:pt idx="22">
                  <c:v>1.6438681292788608</c:v>
                </c:pt>
                <c:pt idx="23">
                  <c:v>1.8831165424602909</c:v>
                </c:pt>
                <c:pt idx="24">
                  <c:v>2.1146472648939332</c:v>
                </c:pt>
                <c:pt idx="25">
                  <c:v>2.3538956780753639</c:v>
                </c:pt>
                <c:pt idx="26">
                  <c:v>2.7397802154647679</c:v>
                </c:pt>
                <c:pt idx="27">
                  <c:v>3.0098993916373504</c:v>
                </c:pt>
                <c:pt idx="28">
                  <c:v>1.5584570430019853</c:v>
                </c:pt>
                <c:pt idx="29">
                  <c:v>1.8640368553553155</c:v>
                </c:pt>
                <c:pt idx="30">
                  <c:v>2.1696166677086461</c:v>
                </c:pt>
                <c:pt idx="31">
                  <c:v>2.240918623924423</c:v>
                </c:pt>
                <c:pt idx="32">
                  <c:v>1.5299338500518322</c:v>
                </c:pt>
                <c:pt idx="33">
                  <c:v>1.8299208794737598</c:v>
                </c:pt>
                <c:pt idx="34">
                  <c:v>2.139907476543085</c:v>
                </c:pt>
                <c:pt idx="35">
                  <c:v>2.2999005589014465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04672"/>
        <c:axId val="127414656"/>
      </c:scatterChart>
      <c:valAx>
        <c:axId val="127404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7414656"/>
        <c:crosses val="autoZero"/>
        <c:crossBetween val="midCat"/>
      </c:valAx>
      <c:valAx>
        <c:axId val="127414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04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Purdu_ex_deep!$U$2:$U$57</c:f>
              <c:numCache>
                <c:formatCode>General</c:formatCode>
                <c:ptCount val="56"/>
                <c:pt idx="0">
                  <c:v>0.83193365535190467</c:v>
                </c:pt>
                <c:pt idx="1">
                  <c:v>0.97843769528808888</c:v>
                </c:pt>
                <c:pt idx="2">
                  <c:v>1.1197094480836955</c:v>
                </c:pt>
                <c:pt idx="3">
                  <c:v>1.2662134880198799</c:v>
                </c:pt>
                <c:pt idx="4">
                  <c:v>1.4127175279560644</c:v>
                </c:pt>
                <c:pt idx="5">
                  <c:v>1.658635023563231</c:v>
                </c:pt>
                <c:pt idx="6">
                  <c:v>1.7789776277965257</c:v>
                </c:pt>
                <c:pt idx="7">
                  <c:v>1.0830834380996492</c:v>
                </c:pt>
                <c:pt idx="8">
                  <c:v>1.24005205231699</c:v>
                </c:pt>
                <c:pt idx="9">
                  <c:v>1.3970206665343303</c:v>
                </c:pt>
                <c:pt idx="10">
                  <c:v>1.5592215678922492</c:v>
                </c:pt>
                <c:pt idx="11">
                  <c:v>1.8208359249211497</c:v>
                </c:pt>
                <c:pt idx="12">
                  <c:v>2.0929148562312068</c:v>
                </c:pt>
                <c:pt idx="13">
                  <c:v>1.4878721977934575</c:v>
                </c:pt>
                <c:pt idx="14">
                  <c:v>1.7304600561293473</c:v>
                </c:pt>
                <c:pt idx="15">
                  <c:v>1.981134176409767</c:v>
                </c:pt>
                <c:pt idx="16">
                  <c:v>2.223722034745657</c:v>
                </c:pt>
                <c:pt idx="17">
                  <c:v>2.4663098930815464</c:v>
                </c:pt>
                <c:pt idx="18">
                  <c:v>2.878709252252559</c:v>
                </c:pt>
                <c:pt idx="19">
                  <c:v>3.2830223494790425</c:v>
                </c:pt>
                <c:pt idx="20">
                  <c:v>3.5579552555930509</c:v>
                </c:pt>
                <c:pt idx="21">
                  <c:v>1.479785935848928</c:v>
                </c:pt>
                <c:pt idx="22">
                  <c:v>1.7223737941848181</c:v>
                </c:pt>
                <c:pt idx="23">
                  <c:v>1.9730479144652371</c:v>
                </c:pt>
                <c:pt idx="24">
                  <c:v>2.2156357728011269</c:v>
                </c:pt>
                <c:pt idx="25">
                  <c:v>2.4663098930815464</c:v>
                </c:pt>
                <c:pt idx="26">
                  <c:v>2.8706229903080298</c:v>
                </c:pt>
                <c:pt idx="27">
                  <c:v>3.1536421583665675</c:v>
                </c:pt>
                <c:pt idx="28">
                  <c:v>1.2371980775130382</c:v>
                </c:pt>
                <c:pt idx="29">
                  <c:v>1.479785935848928</c:v>
                </c:pt>
                <c:pt idx="30">
                  <c:v>1.7223737941848181</c:v>
                </c:pt>
                <c:pt idx="31">
                  <c:v>1.7789776277965255</c:v>
                </c:pt>
                <c:pt idx="32">
                  <c:v>1.2371980775130382</c:v>
                </c:pt>
                <c:pt idx="33">
                  <c:v>1.479785935848928</c:v>
                </c:pt>
                <c:pt idx="34">
                  <c:v>1.7304600561293473</c:v>
                </c:pt>
                <c:pt idx="35">
                  <c:v>1.8598402472418218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47424"/>
        <c:axId val="127448960"/>
      </c:scatterChart>
      <c:valAx>
        <c:axId val="12744742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448960"/>
        <c:crosses val="autoZero"/>
        <c:crossBetween val="midCat"/>
      </c:valAx>
      <c:valAx>
        <c:axId val="127448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4474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Purdu_ex_deep!$L$2:$L$57</c:f>
              <c:numCache>
                <c:formatCode>General</c:formatCode>
                <c:ptCount val="56"/>
                <c:pt idx="0">
                  <c:v>1.1600124787551165E-3</c:v>
                </c:pt>
                <c:pt idx="1">
                  <c:v>1.364291405831489E-3</c:v>
                </c:pt>
                <c:pt idx="2">
                  <c:v>1.5612746569408484E-3</c:v>
                </c:pt>
                <c:pt idx="3">
                  <c:v>1.7655535840172213E-3</c:v>
                </c:pt>
                <c:pt idx="4">
                  <c:v>1.969832511093594E-3</c:v>
                </c:pt>
                <c:pt idx="5">
                  <c:v>2.3127292815432192E-3</c:v>
                </c:pt>
                <c:pt idx="6">
                  <c:v>2.4805298287845258E-3</c:v>
                </c:pt>
                <c:pt idx="7">
                  <c:v>1.5102049251717552E-3</c:v>
                </c:pt>
                <c:pt idx="8">
                  <c:v>1.7290752041821547E-3</c:v>
                </c:pt>
                <c:pt idx="9">
                  <c:v>1.9479454831925539E-3</c:v>
                </c:pt>
                <c:pt idx="10">
                  <c:v>2.1741114381699667E-3</c:v>
                </c:pt>
                <c:pt idx="11">
                  <c:v>2.5388952365206319E-3</c:v>
                </c:pt>
                <c:pt idx="12">
                  <c:v>2.9182703868053245E-3</c:v>
                </c:pt>
                <c:pt idx="13">
                  <c:v>1.342404377930449E-3</c:v>
                </c:pt>
                <c:pt idx="14">
                  <c:v>1.5612746569408484E-3</c:v>
                </c:pt>
                <c:pt idx="15">
                  <c:v>1.7874406119182612E-3</c:v>
                </c:pt>
                <c:pt idx="16">
                  <c:v>2.0063108909286606E-3</c:v>
                </c:pt>
                <c:pt idx="17">
                  <c:v>2.2251811699390599E-3</c:v>
                </c:pt>
                <c:pt idx="18">
                  <c:v>2.5972606442567388E-3</c:v>
                </c:pt>
                <c:pt idx="19">
                  <c:v>2.9620444426074043E-3</c:v>
                </c:pt>
                <c:pt idx="20">
                  <c:v>3.2100974254858569E-3</c:v>
                </c:pt>
                <c:pt idx="21">
                  <c:v>1.3351087019634359E-3</c:v>
                </c:pt>
                <c:pt idx="22">
                  <c:v>1.5539789809738353E-3</c:v>
                </c:pt>
                <c:pt idx="23">
                  <c:v>1.7801449359512477E-3</c:v>
                </c:pt>
                <c:pt idx="24">
                  <c:v>1.9990152149616473E-3</c:v>
                </c:pt>
                <c:pt idx="25">
                  <c:v>2.2251811699390599E-3</c:v>
                </c:pt>
                <c:pt idx="26">
                  <c:v>2.5899649682897255E-3</c:v>
                </c:pt>
                <c:pt idx="27">
                  <c:v>2.8453136271351909E-3</c:v>
                </c:pt>
                <c:pt idx="28">
                  <c:v>1.1162384229530368E-3</c:v>
                </c:pt>
                <c:pt idx="29">
                  <c:v>1.3351087019634359E-3</c:v>
                </c:pt>
                <c:pt idx="30">
                  <c:v>1.5539789809738353E-3</c:v>
                </c:pt>
                <c:pt idx="31">
                  <c:v>1.6050487127429285E-3</c:v>
                </c:pt>
                <c:pt idx="32">
                  <c:v>1.1162384229530368E-3</c:v>
                </c:pt>
                <c:pt idx="33">
                  <c:v>1.3351087019634359E-3</c:v>
                </c:pt>
                <c:pt idx="34">
                  <c:v>1.5612746569408484E-3</c:v>
                </c:pt>
                <c:pt idx="35">
                  <c:v>1.6780054724130614E-3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84256"/>
        <c:axId val="128785792"/>
      </c:scatterChart>
      <c:valAx>
        <c:axId val="128784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8785792"/>
        <c:crosses val="autoZero"/>
        <c:crossBetween val="midCat"/>
      </c:valAx>
      <c:valAx>
        <c:axId val="128785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7842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Purdu_ex_deep!$M$2:$M$57</c:f>
              <c:numCache>
                <c:formatCode>General</c:formatCode>
                <c:ptCount val="56"/>
                <c:pt idx="0">
                  <c:v>0.70714360704911883</c:v>
                </c:pt>
                <c:pt idx="1">
                  <c:v>0.83167204099487557</c:v>
                </c:pt>
                <c:pt idx="2">
                  <c:v>0.95175303087114116</c:v>
                </c:pt>
                <c:pt idx="3">
                  <c:v>1.0762814648168979</c:v>
                </c:pt>
                <c:pt idx="4">
                  <c:v>1.2008098987626545</c:v>
                </c:pt>
                <c:pt idx="5">
                  <c:v>1.4098397700287464</c:v>
                </c:pt>
                <c:pt idx="6">
                  <c:v>1.5121309836270467</c:v>
                </c:pt>
                <c:pt idx="7">
                  <c:v>0.92062092238470183</c:v>
                </c:pt>
                <c:pt idx="8">
                  <c:v>1.0540442444694413</c:v>
                </c:pt>
                <c:pt idx="9">
                  <c:v>1.1874675665541805</c:v>
                </c:pt>
                <c:pt idx="10">
                  <c:v>1.3253383327084116</c:v>
                </c:pt>
                <c:pt idx="11">
                  <c:v>1.547710536182977</c:v>
                </c:pt>
                <c:pt idx="12">
                  <c:v>1.7789776277965255</c:v>
                </c:pt>
                <c:pt idx="13">
                  <c:v>0.81832970878640166</c:v>
                </c:pt>
                <c:pt idx="14">
                  <c:v>0.95175303087114116</c:v>
                </c:pt>
                <c:pt idx="15">
                  <c:v>1.0896237970253719</c:v>
                </c:pt>
                <c:pt idx="16">
                  <c:v>1.2230471191101113</c:v>
                </c:pt>
                <c:pt idx="17">
                  <c:v>1.3564704411948507</c:v>
                </c:pt>
                <c:pt idx="18">
                  <c:v>1.5832900887389076</c:v>
                </c:pt>
                <c:pt idx="19">
                  <c:v>1.8056622922134735</c:v>
                </c:pt>
                <c:pt idx="20">
                  <c:v>1.9568753905761782</c:v>
                </c:pt>
                <c:pt idx="21">
                  <c:v>0.81388226471691039</c:v>
                </c:pt>
                <c:pt idx="22">
                  <c:v>0.94730558680164989</c:v>
                </c:pt>
                <c:pt idx="23">
                  <c:v>1.0851763529558804</c:v>
                </c:pt>
                <c:pt idx="24">
                  <c:v>1.2185996750406198</c:v>
                </c:pt>
                <c:pt idx="25">
                  <c:v>1.3564704411948507</c:v>
                </c:pt>
                <c:pt idx="26">
                  <c:v>1.5788426446694164</c:v>
                </c:pt>
                <c:pt idx="27">
                  <c:v>1.7345031871016121</c:v>
                </c:pt>
                <c:pt idx="28">
                  <c:v>0.68045894263217099</c:v>
                </c:pt>
                <c:pt idx="29">
                  <c:v>0.81388226471691039</c:v>
                </c:pt>
                <c:pt idx="30">
                  <c:v>0.94730558680164989</c:v>
                </c:pt>
                <c:pt idx="31">
                  <c:v>0.9784376952880891</c:v>
                </c:pt>
                <c:pt idx="32">
                  <c:v>0.68045894263217099</c:v>
                </c:pt>
                <c:pt idx="33">
                  <c:v>0.81388226471691039</c:v>
                </c:pt>
                <c:pt idx="34">
                  <c:v>0.95175303087114116</c:v>
                </c:pt>
                <c:pt idx="35">
                  <c:v>1.022912135983002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06272"/>
        <c:axId val="128820352"/>
      </c:scatterChart>
      <c:valAx>
        <c:axId val="12880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8820352"/>
        <c:crosses val="autoZero"/>
        <c:crossBetween val="midCat"/>
      </c:valAx>
      <c:valAx>
        <c:axId val="12882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062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Purdu_ex_deep!$W$2:$W$57</c:f>
              <c:numCache>
                <c:formatCode>General</c:formatCode>
                <c:ptCount val="56"/>
                <c:pt idx="0">
                  <c:v>0.46764705882352942</c:v>
                </c:pt>
                <c:pt idx="1">
                  <c:v>0.54999999999999993</c:v>
                </c:pt>
                <c:pt idx="2">
                  <c:v>0.62941176470588234</c:v>
                </c:pt>
                <c:pt idx="3">
                  <c:v>0.71176470588235285</c:v>
                </c:pt>
                <c:pt idx="4">
                  <c:v>0.79411764705882348</c:v>
                </c:pt>
                <c:pt idx="5">
                  <c:v>0.9323529411764705</c:v>
                </c:pt>
                <c:pt idx="6">
                  <c:v>1</c:v>
                </c:pt>
                <c:pt idx="7">
                  <c:v>0.51749999999999996</c:v>
                </c:pt>
                <c:pt idx="8">
                  <c:v>0.59250000000000003</c:v>
                </c:pt>
                <c:pt idx="9">
                  <c:v>0.66749999999999998</c:v>
                </c:pt>
                <c:pt idx="10">
                  <c:v>0.74500000000000011</c:v>
                </c:pt>
                <c:pt idx="11">
                  <c:v>0.87</c:v>
                </c:pt>
                <c:pt idx="12">
                  <c:v>1</c:v>
                </c:pt>
                <c:pt idx="13">
                  <c:v>0.4181818181818181</c:v>
                </c:pt>
                <c:pt idx="14">
                  <c:v>0.48636363636363633</c:v>
                </c:pt>
                <c:pt idx="15">
                  <c:v>0.55681818181818177</c:v>
                </c:pt>
                <c:pt idx="16">
                  <c:v>0.625</c:v>
                </c:pt>
                <c:pt idx="17">
                  <c:v>0.69318181818181812</c:v>
                </c:pt>
                <c:pt idx="18">
                  <c:v>0.80909090909090897</c:v>
                </c:pt>
                <c:pt idx="19">
                  <c:v>0.92272727272727273</c:v>
                </c:pt>
                <c:pt idx="20">
                  <c:v>1</c:v>
                </c:pt>
                <c:pt idx="21">
                  <c:v>0.46923076923076928</c:v>
                </c:pt>
                <c:pt idx="22">
                  <c:v>0.54615384615384632</c:v>
                </c:pt>
                <c:pt idx="23">
                  <c:v>0.62564102564102564</c:v>
                </c:pt>
                <c:pt idx="24">
                  <c:v>0.70256410256410262</c:v>
                </c:pt>
                <c:pt idx="25">
                  <c:v>0.78205128205128216</c:v>
                </c:pt>
                <c:pt idx="26">
                  <c:v>0.91025641025641035</c:v>
                </c:pt>
                <c:pt idx="27">
                  <c:v>1</c:v>
                </c:pt>
                <c:pt idx="28">
                  <c:v>0.69545454545454544</c:v>
                </c:pt>
                <c:pt idx="29">
                  <c:v>0.83181818181818179</c:v>
                </c:pt>
                <c:pt idx="30">
                  <c:v>0.96818181818181825</c:v>
                </c:pt>
                <c:pt idx="31">
                  <c:v>1</c:v>
                </c:pt>
                <c:pt idx="32">
                  <c:v>0.66521739130434787</c:v>
                </c:pt>
                <c:pt idx="33">
                  <c:v>0.79565217391304355</c:v>
                </c:pt>
                <c:pt idx="34">
                  <c:v>0.93043478260869572</c:v>
                </c:pt>
                <c:pt idx="35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60928"/>
        <c:axId val="128862464"/>
      </c:scatterChart>
      <c:valAx>
        <c:axId val="128860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28862464"/>
        <c:crosses val="autoZero"/>
        <c:crossBetween val="midCat"/>
      </c:valAx>
      <c:valAx>
        <c:axId val="12886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60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Purdu_ex_deep!$Z$1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Purdu_ex_deep!$Z$2:$Z$57</c:f>
              <c:numCache>
                <c:formatCode>General</c:formatCode>
                <c:ptCount val="56"/>
                <c:pt idx="0">
                  <c:v>266.7</c:v>
                </c:pt>
                <c:pt idx="1">
                  <c:v>266.7</c:v>
                </c:pt>
                <c:pt idx="2">
                  <c:v>266.7</c:v>
                </c:pt>
                <c:pt idx="3">
                  <c:v>266.7</c:v>
                </c:pt>
                <c:pt idx="4">
                  <c:v>266.7</c:v>
                </c:pt>
                <c:pt idx="5">
                  <c:v>266.7</c:v>
                </c:pt>
                <c:pt idx="6">
                  <c:v>266.7</c:v>
                </c:pt>
                <c:pt idx="7">
                  <c:v>266.7</c:v>
                </c:pt>
                <c:pt idx="8">
                  <c:v>266.7</c:v>
                </c:pt>
                <c:pt idx="9">
                  <c:v>266.7</c:v>
                </c:pt>
                <c:pt idx="10">
                  <c:v>266.7</c:v>
                </c:pt>
                <c:pt idx="11">
                  <c:v>266.7</c:v>
                </c:pt>
                <c:pt idx="12">
                  <c:v>266.7</c:v>
                </c:pt>
                <c:pt idx="13">
                  <c:v>266.7</c:v>
                </c:pt>
                <c:pt idx="14">
                  <c:v>266.7</c:v>
                </c:pt>
                <c:pt idx="15">
                  <c:v>266.7</c:v>
                </c:pt>
                <c:pt idx="16">
                  <c:v>266.7</c:v>
                </c:pt>
                <c:pt idx="17">
                  <c:v>266.7</c:v>
                </c:pt>
                <c:pt idx="18">
                  <c:v>266.7</c:v>
                </c:pt>
                <c:pt idx="19">
                  <c:v>266.7</c:v>
                </c:pt>
                <c:pt idx="20">
                  <c:v>266.7</c:v>
                </c:pt>
                <c:pt idx="21">
                  <c:v>266.7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882560"/>
        <c:axId val="128884096"/>
      </c:scatterChart>
      <c:valAx>
        <c:axId val="12888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8884096"/>
        <c:crosses val="autoZero"/>
        <c:crossBetween val="midCat"/>
      </c:valAx>
      <c:valAx>
        <c:axId val="128884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8882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Purdu_2!$W$2:$W$83</c:f>
              <c:numCache>
                <c:formatCode>General</c:formatCode>
                <c:ptCount val="81"/>
                <c:pt idx="0">
                  <c:v>0.31578947368421051</c:v>
                </c:pt>
                <c:pt idx="1">
                  <c:v>0.36842105263157893</c:v>
                </c:pt>
                <c:pt idx="2">
                  <c:v>0.42105263157894735</c:v>
                </c:pt>
                <c:pt idx="3">
                  <c:v>0.47368421052631576</c:v>
                </c:pt>
                <c:pt idx="4">
                  <c:v>0.52631578947368418</c:v>
                </c:pt>
                <c:pt idx="5">
                  <c:v>0.57894736842105265</c:v>
                </c:pt>
                <c:pt idx="6">
                  <c:v>0.63157894736842102</c:v>
                </c:pt>
                <c:pt idx="7">
                  <c:v>0.68421052631578938</c:v>
                </c:pt>
                <c:pt idx="8">
                  <c:v>1</c:v>
                </c:pt>
                <c:pt idx="9">
                  <c:v>0.16393442622950818</c:v>
                </c:pt>
                <c:pt idx="10">
                  <c:v>0.21857923497267759</c:v>
                </c:pt>
                <c:pt idx="11">
                  <c:v>0.27322404371584696</c:v>
                </c:pt>
                <c:pt idx="12">
                  <c:v>0.32786885245901637</c:v>
                </c:pt>
                <c:pt idx="13">
                  <c:v>0.38251366120218577</c:v>
                </c:pt>
                <c:pt idx="14">
                  <c:v>0.43715846994535518</c:v>
                </c:pt>
                <c:pt idx="15">
                  <c:v>0.49180327868852458</c:v>
                </c:pt>
                <c:pt idx="16">
                  <c:v>0.54644808743169393</c:v>
                </c:pt>
                <c:pt idx="17">
                  <c:v>0.60109289617486339</c:v>
                </c:pt>
                <c:pt idx="18">
                  <c:v>0.65573770491803274</c:v>
                </c:pt>
                <c:pt idx="19">
                  <c:v>0.71038251366120209</c:v>
                </c:pt>
                <c:pt idx="20">
                  <c:v>0.76502732240437155</c:v>
                </c:pt>
                <c:pt idx="21">
                  <c:v>1</c:v>
                </c:pt>
                <c:pt idx="22">
                  <c:v>0.33333333333333337</c:v>
                </c:pt>
                <c:pt idx="23">
                  <c:v>0.37037037037037041</c:v>
                </c:pt>
                <c:pt idx="24">
                  <c:v>0.66666666666666674</c:v>
                </c:pt>
                <c:pt idx="25">
                  <c:v>0.77777777777777779</c:v>
                </c:pt>
                <c:pt idx="26">
                  <c:v>0.88888888888888895</c:v>
                </c:pt>
                <c:pt idx="27">
                  <c:v>1</c:v>
                </c:pt>
                <c:pt idx="28">
                  <c:v>0.4</c:v>
                </c:pt>
                <c:pt idx="29">
                  <c:v>0.5</c:v>
                </c:pt>
                <c:pt idx="30">
                  <c:v>0.60000000000000009</c:v>
                </c:pt>
                <c:pt idx="31">
                  <c:v>0.70000000000000007</c:v>
                </c:pt>
                <c:pt idx="32">
                  <c:v>0.8</c:v>
                </c:pt>
                <c:pt idx="33">
                  <c:v>0.9</c:v>
                </c:pt>
                <c:pt idx="34">
                  <c:v>1</c:v>
                </c:pt>
                <c:pt idx="35">
                  <c:v>0.38709677419354843</c:v>
                </c:pt>
                <c:pt idx="36">
                  <c:v>0.4838709677419355</c:v>
                </c:pt>
                <c:pt idx="37">
                  <c:v>0.58064516129032273</c:v>
                </c:pt>
                <c:pt idx="38">
                  <c:v>0.67741935483870974</c:v>
                </c:pt>
                <c:pt idx="39">
                  <c:v>0.77419354838709686</c:v>
                </c:pt>
                <c:pt idx="40">
                  <c:v>0.87096774193548399</c:v>
                </c:pt>
                <c:pt idx="41">
                  <c:v>1</c:v>
                </c:pt>
                <c:pt idx="42">
                  <c:v>0.41379310344827586</c:v>
                </c:pt>
                <c:pt idx="43">
                  <c:v>0.51724137931034475</c:v>
                </c:pt>
                <c:pt idx="44">
                  <c:v>0.62068965517241381</c:v>
                </c:pt>
                <c:pt idx="45">
                  <c:v>0.72413793103448276</c:v>
                </c:pt>
                <c:pt idx="46">
                  <c:v>0.82758620689655171</c:v>
                </c:pt>
                <c:pt idx="47">
                  <c:v>0.93103448275862066</c:v>
                </c:pt>
                <c:pt idx="48">
                  <c:v>1</c:v>
                </c:pt>
                <c:pt idx="49">
                  <c:v>0.23076923076923075</c:v>
                </c:pt>
                <c:pt idx="50">
                  <c:v>0.30769230769230771</c:v>
                </c:pt>
                <c:pt idx="51">
                  <c:v>0.38461538461538469</c:v>
                </c:pt>
                <c:pt idx="52">
                  <c:v>0.46153846153846151</c:v>
                </c:pt>
                <c:pt idx="53">
                  <c:v>0.53846153846153855</c:v>
                </c:pt>
                <c:pt idx="54">
                  <c:v>0.61538461538461542</c:v>
                </c:pt>
                <c:pt idx="55">
                  <c:v>0.6923076923076924</c:v>
                </c:pt>
                <c:pt idx="56">
                  <c:v>0.76923076923076938</c:v>
                </c:pt>
                <c:pt idx="57">
                  <c:v>0.84615384615384626</c:v>
                </c:pt>
                <c:pt idx="58">
                  <c:v>1</c:v>
                </c:pt>
                <c:pt idx="59">
                  <c:v>0.22222222222222218</c:v>
                </c:pt>
                <c:pt idx="60">
                  <c:v>0.29629629629629628</c:v>
                </c:pt>
                <c:pt idx="61">
                  <c:v>0.37037037037037035</c:v>
                </c:pt>
                <c:pt idx="62">
                  <c:v>0.44444444444444436</c:v>
                </c:pt>
                <c:pt idx="63">
                  <c:v>0.51851851851851849</c:v>
                </c:pt>
                <c:pt idx="64">
                  <c:v>0.59259259259259256</c:v>
                </c:pt>
                <c:pt idx="65">
                  <c:v>0.66666666666666663</c:v>
                </c:pt>
                <c:pt idx="66">
                  <c:v>0.7407407407407407</c:v>
                </c:pt>
                <c:pt idx="67">
                  <c:v>0.81481481481481477</c:v>
                </c:pt>
                <c:pt idx="68">
                  <c:v>1</c:v>
                </c:pt>
                <c:pt idx="69">
                  <c:v>0.44444444444444448</c:v>
                </c:pt>
                <c:pt idx="70">
                  <c:v>0.55555555555555558</c:v>
                </c:pt>
                <c:pt idx="71">
                  <c:v>0.7777777777777779</c:v>
                </c:pt>
                <c:pt idx="72">
                  <c:v>0.88888888888888895</c:v>
                </c:pt>
                <c:pt idx="73">
                  <c:v>1</c:v>
                </c:pt>
                <c:pt idx="74">
                  <c:v>0.41379310344827586</c:v>
                </c:pt>
                <c:pt idx="75">
                  <c:v>0.51724137931034475</c:v>
                </c:pt>
                <c:pt idx="76">
                  <c:v>0.62068965517241381</c:v>
                </c:pt>
                <c:pt idx="77">
                  <c:v>0.72413793103448276</c:v>
                </c:pt>
                <c:pt idx="78">
                  <c:v>0.82758620689655171</c:v>
                </c:pt>
                <c:pt idx="79">
                  <c:v>0.93103448275862066</c:v>
                </c:pt>
                <c:pt idx="8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92032"/>
        <c:axId val="150093824"/>
      </c:scatterChart>
      <c:valAx>
        <c:axId val="150092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0093824"/>
        <c:crosses val="autoZero"/>
        <c:crossBetween val="midCat"/>
      </c:valAx>
      <c:valAx>
        <c:axId val="150093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0920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Purdu_2!$V$2:$V$83</c:f>
              <c:numCache>
                <c:formatCode>General</c:formatCode>
                <c:ptCount val="81"/>
                <c:pt idx="0">
                  <c:v>0.80060812283504146</c:v>
                </c:pt>
                <c:pt idx="1">
                  <c:v>0.93404280997421507</c:v>
                </c:pt>
                <c:pt idx="2">
                  <c:v>1.0674774971133887</c:v>
                </c:pt>
                <c:pt idx="3">
                  <c:v>1.2009121842525623</c:v>
                </c:pt>
                <c:pt idx="4">
                  <c:v>1.3343468713917359</c:v>
                </c:pt>
                <c:pt idx="5">
                  <c:v>1.4677815585309095</c:v>
                </c:pt>
                <c:pt idx="6">
                  <c:v>1.6012162456700829</c:v>
                </c:pt>
                <c:pt idx="7">
                  <c:v>1.7346509328092565</c:v>
                </c:pt>
                <c:pt idx="8">
                  <c:v>2.535259055644298</c:v>
                </c:pt>
                <c:pt idx="9">
                  <c:v>0.37753189644466245</c:v>
                </c:pt>
                <c:pt idx="10">
                  <c:v>0.50337586192621664</c:v>
                </c:pt>
                <c:pt idx="11">
                  <c:v>0.62921982740777083</c:v>
                </c:pt>
                <c:pt idx="12">
                  <c:v>0.7550637928893249</c:v>
                </c:pt>
                <c:pt idx="13">
                  <c:v>0.88090775837087898</c:v>
                </c:pt>
                <c:pt idx="14">
                  <c:v>1.0067517238524333</c:v>
                </c:pt>
                <c:pt idx="15">
                  <c:v>1.1325956893339875</c:v>
                </c:pt>
                <c:pt idx="16">
                  <c:v>1.2584396548155417</c:v>
                </c:pt>
                <c:pt idx="17">
                  <c:v>1.3842836202970958</c:v>
                </c:pt>
                <c:pt idx="18">
                  <c:v>1.5101275857786498</c:v>
                </c:pt>
                <c:pt idx="19">
                  <c:v>1.635971551260204</c:v>
                </c:pt>
                <c:pt idx="20">
                  <c:v>1.761815516741758</c:v>
                </c:pt>
                <c:pt idx="21">
                  <c:v>2.3029445683124408</c:v>
                </c:pt>
                <c:pt idx="22">
                  <c:v>0.53278913600500633</c:v>
                </c:pt>
                <c:pt idx="23">
                  <c:v>0.59198792889445151</c:v>
                </c:pt>
                <c:pt idx="24">
                  <c:v>1.0655782720100127</c:v>
                </c:pt>
                <c:pt idx="25">
                  <c:v>1.2431746506783481</c:v>
                </c:pt>
                <c:pt idx="26">
                  <c:v>1.4207710293466838</c:v>
                </c:pt>
                <c:pt idx="27">
                  <c:v>1.598367408015019</c:v>
                </c:pt>
                <c:pt idx="28">
                  <c:v>0.94634662042128714</c:v>
                </c:pt>
                <c:pt idx="29">
                  <c:v>1.1829332755266089</c:v>
                </c:pt>
                <c:pt idx="30">
                  <c:v>1.4195199306319306</c:v>
                </c:pt>
                <c:pt idx="31">
                  <c:v>1.6561065857372526</c:v>
                </c:pt>
                <c:pt idx="32">
                  <c:v>1.8926932408425743</c:v>
                </c:pt>
                <c:pt idx="33">
                  <c:v>2.1292798959478958</c:v>
                </c:pt>
                <c:pt idx="34">
                  <c:v>2.3658665510532177</c:v>
                </c:pt>
                <c:pt idx="35">
                  <c:v>0.94007942425955693</c:v>
                </c:pt>
                <c:pt idx="36">
                  <c:v>1.175099280324446</c:v>
                </c:pt>
                <c:pt idx="37">
                  <c:v>1.4101191363893351</c:v>
                </c:pt>
                <c:pt idx="38">
                  <c:v>1.6451389924542243</c:v>
                </c:pt>
                <c:pt idx="39">
                  <c:v>1.8801588485191139</c:v>
                </c:pt>
                <c:pt idx="40">
                  <c:v>2.1151787045840029</c:v>
                </c:pt>
                <c:pt idx="41">
                  <c:v>2.4285385126705217</c:v>
                </c:pt>
                <c:pt idx="42">
                  <c:v>0.93614474185990759</c:v>
                </c:pt>
                <c:pt idx="43">
                  <c:v>1.1701809273248842</c:v>
                </c:pt>
                <c:pt idx="44">
                  <c:v>1.4042171127898611</c:v>
                </c:pt>
                <c:pt idx="45">
                  <c:v>1.6382532982548381</c:v>
                </c:pt>
                <c:pt idx="46">
                  <c:v>1.8722894837198152</c:v>
                </c:pt>
                <c:pt idx="47">
                  <c:v>2.106325669184792</c:v>
                </c:pt>
                <c:pt idx="48">
                  <c:v>2.2623497928281098</c:v>
                </c:pt>
                <c:pt idx="49">
                  <c:v>0.38724762757575115</c:v>
                </c:pt>
                <c:pt idx="50">
                  <c:v>0.51633017010100157</c:v>
                </c:pt>
                <c:pt idx="51">
                  <c:v>0.64541271262625211</c:v>
                </c:pt>
                <c:pt idx="52">
                  <c:v>0.7744952551515023</c:v>
                </c:pt>
                <c:pt idx="53">
                  <c:v>0.90357779767675273</c:v>
                </c:pt>
                <c:pt idx="54">
                  <c:v>1.0326603402020031</c:v>
                </c:pt>
                <c:pt idx="55">
                  <c:v>1.1617428827272536</c:v>
                </c:pt>
                <c:pt idx="56">
                  <c:v>1.2908254252525042</c:v>
                </c:pt>
                <c:pt idx="57">
                  <c:v>1.4199079677777544</c:v>
                </c:pt>
                <c:pt idx="58">
                  <c:v>1.678073052828255</c:v>
                </c:pt>
                <c:pt idx="59">
                  <c:v>0.38724762757575115</c:v>
                </c:pt>
                <c:pt idx="60">
                  <c:v>0.51633017010100157</c:v>
                </c:pt>
                <c:pt idx="61">
                  <c:v>0.64541271262625211</c:v>
                </c:pt>
                <c:pt idx="62">
                  <c:v>0.7744952551515023</c:v>
                </c:pt>
                <c:pt idx="63">
                  <c:v>0.90357779767675273</c:v>
                </c:pt>
                <c:pt idx="64">
                  <c:v>1.0326603402020031</c:v>
                </c:pt>
                <c:pt idx="65">
                  <c:v>1.1617428827272536</c:v>
                </c:pt>
                <c:pt idx="66">
                  <c:v>1.2908254252525042</c:v>
                </c:pt>
                <c:pt idx="67">
                  <c:v>1.4199079677777544</c:v>
                </c:pt>
                <c:pt idx="68">
                  <c:v>1.7426143240908802</c:v>
                </c:pt>
                <c:pt idx="69">
                  <c:v>0.90073509626447679</c:v>
                </c:pt>
                <c:pt idx="70">
                  <c:v>1.1259188703305958</c:v>
                </c:pt>
                <c:pt idx="71">
                  <c:v>1.5762864184628342</c:v>
                </c:pt>
                <c:pt idx="72">
                  <c:v>1.8014701925289536</c:v>
                </c:pt>
                <c:pt idx="73">
                  <c:v>2.0266539665950725</c:v>
                </c:pt>
                <c:pt idx="74">
                  <c:v>0.90073509626447679</c:v>
                </c:pt>
                <c:pt idx="75">
                  <c:v>1.1259188703305958</c:v>
                </c:pt>
                <c:pt idx="76">
                  <c:v>1.3511026443967149</c:v>
                </c:pt>
                <c:pt idx="77">
                  <c:v>1.5762864184628342</c:v>
                </c:pt>
                <c:pt idx="78">
                  <c:v>1.8014701925289536</c:v>
                </c:pt>
                <c:pt idx="79">
                  <c:v>2.0266539665950725</c:v>
                </c:pt>
                <c:pt idx="80">
                  <c:v>2.176776482639152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0688"/>
        <c:axId val="150132224"/>
      </c:scatterChart>
      <c:valAx>
        <c:axId val="150130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50132224"/>
        <c:crosses val="autoZero"/>
        <c:crossBetween val="midCat"/>
      </c:valAx>
      <c:valAx>
        <c:axId val="150132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130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Purdu_2!$D$2:$D$83</c:f>
              <c:numCache>
                <c:formatCode>General</c:formatCode>
                <c:ptCount val="81"/>
                <c:pt idx="0">
                  <c:v>2.2857142857142856</c:v>
                </c:pt>
                <c:pt idx="1">
                  <c:v>2.2857142857142856</c:v>
                </c:pt>
                <c:pt idx="2">
                  <c:v>2.2857142857142856</c:v>
                </c:pt>
                <c:pt idx="3">
                  <c:v>2.2857142857142856</c:v>
                </c:pt>
                <c:pt idx="4">
                  <c:v>2.2857142857142856</c:v>
                </c:pt>
                <c:pt idx="5">
                  <c:v>2.2857142857142856</c:v>
                </c:pt>
                <c:pt idx="6">
                  <c:v>2.2857142857142856</c:v>
                </c:pt>
                <c:pt idx="7">
                  <c:v>2.2857142857142856</c:v>
                </c:pt>
                <c:pt idx="8">
                  <c:v>2.2857142857142856</c:v>
                </c:pt>
                <c:pt idx="9">
                  <c:v>2.2857142857142856</c:v>
                </c:pt>
                <c:pt idx="10">
                  <c:v>2.2857142857142856</c:v>
                </c:pt>
                <c:pt idx="11">
                  <c:v>2.2857142857142856</c:v>
                </c:pt>
                <c:pt idx="12">
                  <c:v>2.2857142857142856</c:v>
                </c:pt>
                <c:pt idx="13">
                  <c:v>2.2857142857142856</c:v>
                </c:pt>
                <c:pt idx="14">
                  <c:v>2.2857142857142856</c:v>
                </c:pt>
                <c:pt idx="15">
                  <c:v>2.2857142857142856</c:v>
                </c:pt>
                <c:pt idx="16">
                  <c:v>2.2857142857142856</c:v>
                </c:pt>
                <c:pt idx="17">
                  <c:v>2.2857142857142856</c:v>
                </c:pt>
                <c:pt idx="18">
                  <c:v>2.2857142857142856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2.2857142857142856</c:v>
                </c:pt>
                <c:pt idx="22">
                  <c:v>2.2857142857142856</c:v>
                </c:pt>
                <c:pt idx="23">
                  <c:v>2.2857142857142856</c:v>
                </c:pt>
                <c:pt idx="24">
                  <c:v>2.2857142857142856</c:v>
                </c:pt>
                <c:pt idx="25">
                  <c:v>2.2857142857142856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2.2857142857142856</c:v>
                </c:pt>
                <c:pt idx="29">
                  <c:v>2.2857142857142856</c:v>
                </c:pt>
                <c:pt idx="30">
                  <c:v>2.2857142857142856</c:v>
                </c:pt>
                <c:pt idx="31">
                  <c:v>2.2857142857142856</c:v>
                </c:pt>
                <c:pt idx="32">
                  <c:v>2.2857142857142856</c:v>
                </c:pt>
                <c:pt idx="33">
                  <c:v>2.2857142857142856</c:v>
                </c:pt>
                <c:pt idx="34">
                  <c:v>2.2857142857142856</c:v>
                </c:pt>
                <c:pt idx="35">
                  <c:v>2.2857142857142856</c:v>
                </c:pt>
                <c:pt idx="36">
                  <c:v>2.2857142857142856</c:v>
                </c:pt>
                <c:pt idx="37">
                  <c:v>2.2857142857142856</c:v>
                </c:pt>
                <c:pt idx="38">
                  <c:v>2.2857142857142856</c:v>
                </c:pt>
                <c:pt idx="39">
                  <c:v>2.2857142857142856</c:v>
                </c:pt>
                <c:pt idx="40">
                  <c:v>2.2857142857142856</c:v>
                </c:pt>
                <c:pt idx="41">
                  <c:v>2.2857142857142856</c:v>
                </c:pt>
                <c:pt idx="42">
                  <c:v>2.2857142857142856</c:v>
                </c:pt>
                <c:pt idx="43">
                  <c:v>2.2857142857142856</c:v>
                </c:pt>
                <c:pt idx="44">
                  <c:v>2.2857142857142856</c:v>
                </c:pt>
                <c:pt idx="45">
                  <c:v>2.2857142857142856</c:v>
                </c:pt>
                <c:pt idx="46">
                  <c:v>2.2857142857142856</c:v>
                </c:pt>
                <c:pt idx="47">
                  <c:v>2.2857142857142856</c:v>
                </c:pt>
                <c:pt idx="48">
                  <c:v>2.2857142857142856</c:v>
                </c:pt>
                <c:pt idx="49">
                  <c:v>2.8571428571428572</c:v>
                </c:pt>
                <c:pt idx="50">
                  <c:v>2.8571428571428572</c:v>
                </c:pt>
                <c:pt idx="51">
                  <c:v>2.8571428571428572</c:v>
                </c:pt>
                <c:pt idx="52">
                  <c:v>2.8571428571428572</c:v>
                </c:pt>
                <c:pt idx="53">
                  <c:v>2.8571428571428572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2.8571428571428572</c:v>
                </c:pt>
                <c:pt idx="57">
                  <c:v>2.8571428571428572</c:v>
                </c:pt>
                <c:pt idx="58">
                  <c:v>2.8571428571428572</c:v>
                </c:pt>
                <c:pt idx="59">
                  <c:v>2.8571428571428572</c:v>
                </c:pt>
                <c:pt idx="60">
                  <c:v>2.8571428571428572</c:v>
                </c:pt>
                <c:pt idx="61">
                  <c:v>2.8571428571428572</c:v>
                </c:pt>
                <c:pt idx="62">
                  <c:v>2.8571428571428572</c:v>
                </c:pt>
                <c:pt idx="63">
                  <c:v>2.8571428571428572</c:v>
                </c:pt>
                <c:pt idx="64">
                  <c:v>2.8571428571428572</c:v>
                </c:pt>
                <c:pt idx="65">
                  <c:v>2.8571428571428572</c:v>
                </c:pt>
                <c:pt idx="66">
                  <c:v>2.8571428571428572</c:v>
                </c:pt>
                <c:pt idx="67">
                  <c:v>2.8571428571428572</c:v>
                </c:pt>
                <c:pt idx="68">
                  <c:v>2.8571428571428572</c:v>
                </c:pt>
                <c:pt idx="69">
                  <c:v>2.8571428571428572</c:v>
                </c:pt>
                <c:pt idx="70">
                  <c:v>2.8571428571428572</c:v>
                </c:pt>
                <c:pt idx="71">
                  <c:v>2.8571428571428572</c:v>
                </c:pt>
                <c:pt idx="72">
                  <c:v>2.8571428571428572</c:v>
                </c:pt>
                <c:pt idx="73">
                  <c:v>2.8571428571428572</c:v>
                </c:pt>
                <c:pt idx="74">
                  <c:v>2.8571428571428572</c:v>
                </c:pt>
                <c:pt idx="75">
                  <c:v>2.8571428571428572</c:v>
                </c:pt>
                <c:pt idx="76">
                  <c:v>2.8571428571428572</c:v>
                </c:pt>
                <c:pt idx="77">
                  <c:v>2.8571428571428572</c:v>
                </c:pt>
                <c:pt idx="78">
                  <c:v>2.8571428571428572</c:v>
                </c:pt>
                <c:pt idx="79">
                  <c:v>2.8571428571428572</c:v>
                </c:pt>
                <c:pt idx="80">
                  <c:v>2.8571428571428572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21632"/>
        <c:axId val="150023168"/>
      </c:scatterChart>
      <c:valAx>
        <c:axId val="1500216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0023168"/>
        <c:crosses val="autoZero"/>
        <c:crossBetween val="midCat"/>
      </c:valAx>
      <c:valAx>
        <c:axId val="150023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0216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Purdu_2!$Z$1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Purdu_2!$Z$2:$Z$83</c:f>
              <c:numCache>
                <c:formatCode>General</c:formatCode>
                <c:ptCount val="81"/>
                <c:pt idx="0">
                  <c:v>666.75</c:v>
                </c:pt>
                <c:pt idx="1">
                  <c:v>666.75</c:v>
                </c:pt>
                <c:pt idx="2">
                  <c:v>666.75</c:v>
                </c:pt>
                <c:pt idx="3">
                  <c:v>666.75</c:v>
                </c:pt>
                <c:pt idx="4">
                  <c:v>666.75</c:v>
                </c:pt>
                <c:pt idx="5">
                  <c:v>666.75</c:v>
                </c:pt>
                <c:pt idx="6">
                  <c:v>666.75</c:v>
                </c:pt>
                <c:pt idx="7">
                  <c:v>666.75</c:v>
                </c:pt>
                <c:pt idx="8">
                  <c:v>666.75</c:v>
                </c:pt>
                <c:pt idx="9">
                  <c:v>666.75</c:v>
                </c:pt>
                <c:pt idx="10">
                  <c:v>666.75</c:v>
                </c:pt>
                <c:pt idx="11">
                  <c:v>666.75</c:v>
                </c:pt>
                <c:pt idx="12">
                  <c:v>666.75</c:v>
                </c:pt>
                <c:pt idx="13">
                  <c:v>666.75</c:v>
                </c:pt>
                <c:pt idx="14">
                  <c:v>666.75</c:v>
                </c:pt>
                <c:pt idx="15">
                  <c:v>666.75</c:v>
                </c:pt>
                <c:pt idx="16">
                  <c:v>666.75</c:v>
                </c:pt>
                <c:pt idx="17">
                  <c:v>666.75</c:v>
                </c:pt>
                <c:pt idx="18">
                  <c:v>666.75</c:v>
                </c:pt>
                <c:pt idx="19">
                  <c:v>666.75</c:v>
                </c:pt>
                <c:pt idx="20">
                  <c:v>666.75</c:v>
                </c:pt>
                <c:pt idx="21">
                  <c:v>666.75</c:v>
                </c:pt>
                <c:pt idx="22">
                  <c:v>266.7</c:v>
                </c:pt>
                <c:pt idx="23">
                  <c:v>266.7</c:v>
                </c:pt>
                <c:pt idx="24">
                  <c:v>266.7</c:v>
                </c:pt>
                <c:pt idx="25">
                  <c:v>266.7</c:v>
                </c:pt>
                <c:pt idx="26">
                  <c:v>266.7</c:v>
                </c:pt>
                <c:pt idx="27">
                  <c:v>266.7</c:v>
                </c:pt>
                <c:pt idx="28">
                  <c:v>266.7</c:v>
                </c:pt>
                <c:pt idx="29">
                  <c:v>266.7</c:v>
                </c:pt>
                <c:pt idx="30">
                  <c:v>266.7</c:v>
                </c:pt>
                <c:pt idx="31">
                  <c:v>266.7</c:v>
                </c:pt>
                <c:pt idx="32">
                  <c:v>266.7</c:v>
                </c:pt>
                <c:pt idx="33">
                  <c:v>266.7</c:v>
                </c:pt>
                <c:pt idx="34">
                  <c:v>266.7</c:v>
                </c:pt>
                <c:pt idx="35">
                  <c:v>266.7</c:v>
                </c:pt>
                <c:pt idx="36">
                  <c:v>266.7</c:v>
                </c:pt>
                <c:pt idx="37">
                  <c:v>266.7</c:v>
                </c:pt>
                <c:pt idx="38">
                  <c:v>266.7</c:v>
                </c:pt>
                <c:pt idx="39">
                  <c:v>266.7</c:v>
                </c:pt>
                <c:pt idx="40">
                  <c:v>266.7</c:v>
                </c:pt>
                <c:pt idx="41">
                  <c:v>266.7</c:v>
                </c:pt>
                <c:pt idx="42">
                  <c:v>266.7</c:v>
                </c:pt>
                <c:pt idx="43">
                  <c:v>266.7</c:v>
                </c:pt>
                <c:pt idx="44">
                  <c:v>266.7</c:v>
                </c:pt>
                <c:pt idx="45">
                  <c:v>266.7</c:v>
                </c:pt>
                <c:pt idx="46">
                  <c:v>266.7</c:v>
                </c:pt>
                <c:pt idx="47">
                  <c:v>266.7</c:v>
                </c:pt>
                <c:pt idx="48">
                  <c:v>266.7</c:v>
                </c:pt>
                <c:pt idx="49">
                  <c:v>666.75</c:v>
                </c:pt>
                <c:pt idx="50">
                  <c:v>666.75</c:v>
                </c:pt>
                <c:pt idx="51">
                  <c:v>666.75</c:v>
                </c:pt>
                <c:pt idx="52">
                  <c:v>666.75</c:v>
                </c:pt>
                <c:pt idx="53">
                  <c:v>666.75</c:v>
                </c:pt>
                <c:pt idx="54">
                  <c:v>666.75</c:v>
                </c:pt>
                <c:pt idx="55">
                  <c:v>666.75</c:v>
                </c:pt>
                <c:pt idx="56">
                  <c:v>666.75</c:v>
                </c:pt>
                <c:pt idx="57">
                  <c:v>666.75</c:v>
                </c:pt>
                <c:pt idx="58">
                  <c:v>666.75</c:v>
                </c:pt>
                <c:pt idx="59">
                  <c:v>666.75</c:v>
                </c:pt>
                <c:pt idx="60">
                  <c:v>666.75</c:v>
                </c:pt>
                <c:pt idx="61">
                  <c:v>666.75</c:v>
                </c:pt>
                <c:pt idx="62">
                  <c:v>666.75</c:v>
                </c:pt>
                <c:pt idx="63">
                  <c:v>666.75</c:v>
                </c:pt>
                <c:pt idx="64">
                  <c:v>666.75</c:v>
                </c:pt>
                <c:pt idx="65">
                  <c:v>666.75</c:v>
                </c:pt>
                <c:pt idx="66">
                  <c:v>666.75</c:v>
                </c:pt>
                <c:pt idx="67">
                  <c:v>666.75</c:v>
                </c:pt>
                <c:pt idx="68">
                  <c:v>666.75</c:v>
                </c:pt>
                <c:pt idx="69">
                  <c:v>266.7</c:v>
                </c:pt>
                <c:pt idx="70">
                  <c:v>266.7</c:v>
                </c:pt>
                <c:pt idx="71">
                  <c:v>266.7</c:v>
                </c:pt>
                <c:pt idx="72">
                  <c:v>266.7</c:v>
                </c:pt>
                <c:pt idx="73">
                  <c:v>266.7</c:v>
                </c:pt>
                <c:pt idx="74">
                  <c:v>266.7</c:v>
                </c:pt>
                <c:pt idx="75">
                  <c:v>266.7</c:v>
                </c:pt>
                <c:pt idx="76">
                  <c:v>266.7</c:v>
                </c:pt>
                <c:pt idx="77">
                  <c:v>266.7</c:v>
                </c:pt>
                <c:pt idx="78">
                  <c:v>266.7</c:v>
                </c:pt>
                <c:pt idx="79">
                  <c:v>266.7</c:v>
                </c:pt>
                <c:pt idx="80">
                  <c:v>266.7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060032"/>
        <c:axId val="150061824"/>
      </c:scatterChart>
      <c:valAx>
        <c:axId val="150060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0061824"/>
        <c:crosses val="autoZero"/>
        <c:crossBetween val="midCat"/>
      </c:valAx>
      <c:valAx>
        <c:axId val="15006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060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PCA!$U$2:$U$89</c:f>
              <c:numCache>
                <c:formatCode>General</c:formatCode>
                <c:ptCount val="88"/>
                <c:pt idx="0">
                  <c:v>0.47920515846994532</c:v>
                </c:pt>
                <c:pt idx="1">
                  <c:v>0.51212765027322404</c:v>
                </c:pt>
                <c:pt idx="2">
                  <c:v>0.58528874316939894</c:v>
                </c:pt>
                <c:pt idx="3">
                  <c:v>0.65844983606557372</c:v>
                </c:pt>
                <c:pt idx="4">
                  <c:v>0.73161092896174862</c:v>
                </c:pt>
                <c:pt idx="5">
                  <c:v>0.80477202185792351</c:v>
                </c:pt>
                <c:pt idx="6">
                  <c:v>0.8779331147540983</c:v>
                </c:pt>
                <c:pt idx="7">
                  <c:v>0.9510942076502733</c:v>
                </c:pt>
                <c:pt idx="8">
                  <c:v>1.0242553005464481</c:v>
                </c:pt>
                <c:pt idx="9">
                  <c:v>2.1962729658792655</c:v>
                </c:pt>
                <c:pt idx="10">
                  <c:v>2.1962729658792655</c:v>
                </c:pt>
                <c:pt idx="11">
                  <c:v>0.70693546666666673</c:v>
                </c:pt>
                <c:pt idx="12">
                  <c:v>0.86634248366013089</c:v>
                </c:pt>
                <c:pt idx="13">
                  <c:v>1.0396109803921569</c:v>
                </c:pt>
                <c:pt idx="14">
                  <c:v>1.2128794771241831</c:v>
                </c:pt>
                <c:pt idx="15">
                  <c:v>1.3861479738562095</c:v>
                </c:pt>
                <c:pt idx="16">
                  <c:v>1.5594164705882356</c:v>
                </c:pt>
                <c:pt idx="17">
                  <c:v>1.7326849673202618</c:v>
                </c:pt>
                <c:pt idx="18">
                  <c:v>1.9059534640522877</c:v>
                </c:pt>
                <c:pt idx="19">
                  <c:v>2.1291560314960636</c:v>
                </c:pt>
                <c:pt idx="20">
                  <c:v>2.1291560314960636</c:v>
                </c:pt>
                <c:pt idx="21">
                  <c:v>0.98133558963511358</c:v>
                </c:pt>
                <c:pt idx="22">
                  <c:v>1.0514309888947644</c:v>
                </c:pt>
                <c:pt idx="23">
                  <c:v>1.2266694870438921</c:v>
                </c:pt>
                <c:pt idx="24">
                  <c:v>1.4019079851930196</c:v>
                </c:pt>
                <c:pt idx="25">
                  <c:v>1.5771464833421471</c:v>
                </c:pt>
                <c:pt idx="26">
                  <c:v>1.7523849814912744</c:v>
                </c:pt>
                <c:pt idx="27">
                  <c:v>1.9276234796404017</c:v>
                </c:pt>
                <c:pt idx="28">
                  <c:v>2.1028619777895288</c:v>
                </c:pt>
                <c:pt idx="29">
                  <c:v>2.3146659893319788</c:v>
                </c:pt>
                <c:pt idx="30">
                  <c:v>2.3146659893319788</c:v>
                </c:pt>
                <c:pt idx="31">
                  <c:v>0.84532126696832577</c:v>
                </c:pt>
                <c:pt idx="32">
                  <c:v>1.006334841628959</c:v>
                </c:pt>
                <c:pt idx="33">
                  <c:v>1.1740573152337856</c:v>
                </c:pt>
                <c:pt idx="34">
                  <c:v>1.3417797888386123</c:v>
                </c:pt>
                <c:pt idx="35">
                  <c:v>1.5095022624434389</c:v>
                </c:pt>
                <c:pt idx="36">
                  <c:v>1.6772247360482657</c:v>
                </c:pt>
                <c:pt idx="37">
                  <c:v>1.8449472096530919</c:v>
                </c:pt>
                <c:pt idx="38">
                  <c:v>2.0126696832579181</c:v>
                </c:pt>
                <c:pt idx="39">
                  <c:v>2.4247122955784373</c:v>
                </c:pt>
                <c:pt idx="40">
                  <c:v>2.4247122955784373</c:v>
                </c:pt>
                <c:pt idx="41">
                  <c:v>0.46796340605207609</c:v>
                </c:pt>
                <c:pt idx="42">
                  <c:v>0.51995934005786226</c:v>
                </c:pt>
                <c:pt idx="43">
                  <c:v>0.62395120806943483</c:v>
                </c:pt>
                <c:pt idx="44">
                  <c:v>0.72794307608100728</c:v>
                </c:pt>
                <c:pt idx="45">
                  <c:v>0.83193494409257973</c:v>
                </c:pt>
                <c:pt idx="46">
                  <c:v>0.93592681210415218</c:v>
                </c:pt>
                <c:pt idx="47">
                  <c:v>1.0399186801157245</c:v>
                </c:pt>
                <c:pt idx="48">
                  <c:v>1.1439105481272971</c:v>
                </c:pt>
                <c:pt idx="49">
                  <c:v>1.2479024161388697</c:v>
                </c:pt>
                <c:pt idx="50">
                  <c:v>1.3713415823022126</c:v>
                </c:pt>
                <c:pt idx="51">
                  <c:v>1.3713415823022126</c:v>
                </c:pt>
                <c:pt idx="52">
                  <c:v>0.67910130718954265</c:v>
                </c:pt>
                <c:pt idx="53">
                  <c:v>0.81492156862745102</c:v>
                </c:pt>
                <c:pt idx="54">
                  <c:v>0.95074183006535951</c:v>
                </c:pt>
                <c:pt idx="55">
                  <c:v>1.0865620915032681</c:v>
                </c:pt>
                <c:pt idx="56">
                  <c:v>1.2223823529411768</c:v>
                </c:pt>
                <c:pt idx="57">
                  <c:v>1.3582026143790853</c:v>
                </c:pt>
                <c:pt idx="58">
                  <c:v>1.4940228758169936</c:v>
                </c:pt>
                <c:pt idx="59">
                  <c:v>1.629843137254902</c:v>
                </c:pt>
                <c:pt idx="60">
                  <c:v>1.8762446194225726</c:v>
                </c:pt>
                <c:pt idx="61">
                  <c:v>1.8762446194225726</c:v>
                </c:pt>
                <c:pt idx="62">
                  <c:v>0.93618141732283466</c:v>
                </c:pt>
                <c:pt idx="63">
                  <c:v>1.0001938219261055</c:v>
                </c:pt>
                <c:pt idx="64">
                  <c:v>1.100213204118716</c:v>
                </c:pt>
                <c:pt idx="65">
                  <c:v>1.2002325863113263</c:v>
                </c:pt>
                <c:pt idx="66">
                  <c:v>1.3002519685039371</c:v>
                </c:pt>
                <c:pt idx="67">
                  <c:v>1.4002713506965476</c:v>
                </c:pt>
                <c:pt idx="68">
                  <c:v>1.5002907328891582</c:v>
                </c:pt>
                <c:pt idx="69">
                  <c:v>1.6003101150817687</c:v>
                </c:pt>
                <c:pt idx="70">
                  <c:v>1.7003294972743792</c:v>
                </c:pt>
                <c:pt idx="71">
                  <c:v>1.8003488794669902</c:v>
                </c:pt>
                <c:pt idx="72">
                  <c:v>1.9003682616596007</c:v>
                </c:pt>
                <c:pt idx="73">
                  <c:v>2.000387643852211</c:v>
                </c:pt>
                <c:pt idx="74">
                  <c:v>2.1204109024833442</c:v>
                </c:pt>
                <c:pt idx="75">
                  <c:v>2.1204109024833442</c:v>
                </c:pt>
                <c:pt idx="76">
                  <c:v>1.3228460283598946</c:v>
                </c:pt>
                <c:pt idx="77">
                  <c:v>1.423315346969507</c:v>
                </c:pt>
                <c:pt idx="78">
                  <c:v>1.5070397791441839</c:v>
                </c:pt>
                <c:pt idx="79">
                  <c:v>1.5907642113188607</c:v>
                </c:pt>
                <c:pt idx="80">
                  <c:v>1.6744886434935378</c:v>
                </c:pt>
                <c:pt idx="81">
                  <c:v>1.7582130756682144</c:v>
                </c:pt>
                <c:pt idx="82">
                  <c:v>1.841937507842891</c:v>
                </c:pt>
                <c:pt idx="83">
                  <c:v>1.9256619400175681</c:v>
                </c:pt>
                <c:pt idx="84">
                  <c:v>2.0093863721922447</c:v>
                </c:pt>
                <c:pt idx="85">
                  <c:v>2.0931108043669218</c:v>
                </c:pt>
                <c:pt idx="86">
                  <c:v>2.4853301029678985</c:v>
                </c:pt>
                <c:pt idx="87">
                  <c:v>2.4853301029678985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71968"/>
        <c:axId val="152810624"/>
      </c:scatterChart>
      <c:valAx>
        <c:axId val="152771968"/>
        <c:scaling>
          <c:orientation val="minMax"/>
        </c:scaling>
        <c:delete val="0"/>
        <c:axPos val="b"/>
        <c:majorTickMark val="out"/>
        <c:minorTickMark val="none"/>
        <c:tickLblPos val="nextTo"/>
        <c:crossAx val="152810624"/>
        <c:crosses val="autoZero"/>
        <c:crossBetween val="midCat"/>
      </c:valAx>
      <c:valAx>
        <c:axId val="152810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2771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847462817147857"/>
          <c:y val="0.17628499562554681"/>
          <c:w val="0.69070713035870512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PCA!$L$1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PCA!$L$2:$L$89</c:f>
              <c:numCache>
                <c:formatCode>General</c:formatCode>
                <c:ptCount val="88"/>
                <c:pt idx="0">
                  <c:v>8.2347088750706619E-4</c:v>
                </c:pt>
                <c:pt idx="1">
                  <c:v>8.8004522328999444E-4</c:v>
                </c:pt>
                <c:pt idx="2">
                  <c:v>1.0057659694742793E-3</c:v>
                </c:pt>
                <c:pt idx="3">
                  <c:v>1.1314867156585642E-3</c:v>
                </c:pt>
                <c:pt idx="4">
                  <c:v>1.2572074618428491E-3</c:v>
                </c:pt>
                <c:pt idx="5">
                  <c:v>1.382928208027134E-3</c:v>
                </c:pt>
                <c:pt idx="6">
                  <c:v>1.5086489542114191E-3</c:v>
                </c:pt>
                <c:pt idx="7">
                  <c:v>1.634369700395704E-3</c:v>
                </c:pt>
                <c:pt idx="8">
                  <c:v>1.7600904465799889E-3</c:v>
                </c:pt>
                <c:pt idx="9">
                  <c:v>3.7740972033668213E-3</c:v>
                </c:pt>
                <c:pt idx="10">
                  <c:v>3.7740972033668213E-3</c:v>
                </c:pt>
                <c:pt idx="11">
                  <c:v>5.5949685534591198E-4</c:v>
                </c:pt>
                <c:pt idx="12">
                  <c:v>6.8565791096312752E-4</c:v>
                </c:pt>
                <c:pt idx="13">
                  <c:v>8.2278949315575287E-4</c:v>
                </c:pt>
                <c:pt idx="14">
                  <c:v>9.5992107534837833E-4</c:v>
                </c:pt>
                <c:pt idx="15">
                  <c:v>1.0970526575410039E-3</c:v>
                </c:pt>
                <c:pt idx="16">
                  <c:v>1.2341842397336294E-3</c:v>
                </c:pt>
                <c:pt idx="17">
                  <c:v>1.371315821926255E-3</c:v>
                </c:pt>
                <c:pt idx="18">
                  <c:v>1.5084474041188803E-3</c:v>
                </c:pt>
                <c:pt idx="19">
                  <c:v>1.6850987966126878E-3</c:v>
                </c:pt>
                <c:pt idx="20">
                  <c:v>1.6850987966126878E-3</c:v>
                </c:pt>
                <c:pt idx="21">
                  <c:v>5.996196528730652E-4</c:v>
                </c:pt>
                <c:pt idx="22">
                  <c:v>6.4244962807828406E-4</c:v>
                </c:pt>
                <c:pt idx="23">
                  <c:v>7.4952456609133147E-4</c:v>
                </c:pt>
                <c:pt idx="24">
                  <c:v>8.5659950410437889E-4</c:v>
                </c:pt>
                <c:pt idx="25">
                  <c:v>9.636744421174263E-4</c:v>
                </c:pt>
                <c:pt idx="26">
                  <c:v>1.0707493801304737E-3</c:v>
                </c:pt>
                <c:pt idx="27">
                  <c:v>1.1778243181435209E-3</c:v>
                </c:pt>
                <c:pt idx="28">
                  <c:v>1.2848992561565681E-3</c:v>
                </c:pt>
                <c:pt idx="29">
                  <c:v>1.4143166024951728E-3</c:v>
                </c:pt>
                <c:pt idx="30">
                  <c:v>1.4143166024951728E-3</c:v>
                </c:pt>
                <c:pt idx="31">
                  <c:v>4.4562759410333476E-4</c:v>
                </c:pt>
                <c:pt idx="32">
                  <c:v>5.30509040599208E-4</c:v>
                </c:pt>
                <c:pt idx="33">
                  <c:v>6.1892721403240944E-4</c:v>
                </c:pt>
                <c:pt idx="34">
                  <c:v>7.0734538746561077E-4</c:v>
                </c:pt>
                <c:pt idx="35">
                  <c:v>7.9576356089881221E-4</c:v>
                </c:pt>
                <c:pt idx="36">
                  <c:v>8.8418173433201354E-4</c:v>
                </c:pt>
                <c:pt idx="37">
                  <c:v>9.7259990776521487E-4</c:v>
                </c:pt>
                <c:pt idx="38">
                  <c:v>1.061018081198416E-3</c:v>
                </c:pt>
                <c:pt idx="39">
                  <c:v>1.278234381286281E-3</c:v>
                </c:pt>
                <c:pt idx="40">
                  <c:v>1.278234381286281E-3</c:v>
                </c:pt>
                <c:pt idx="41">
                  <c:v>8.463603881688831E-4</c:v>
                </c:pt>
                <c:pt idx="42">
                  <c:v>9.4040043129875906E-4</c:v>
                </c:pt>
                <c:pt idx="43">
                  <c:v>1.1284805175585109E-3</c:v>
                </c:pt>
                <c:pt idx="44">
                  <c:v>1.3165606038182626E-3</c:v>
                </c:pt>
                <c:pt idx="45">
                  <c:v>1.5046406900780145E-3</c:v>
                </c:pt>
                <c:pt idx="46">
                  <c:v>1.6927207763377662E-3</c:v>
                </c:pt>
                <c:pt idx="47">
                  <c:v>1.8808008625975181E-3</c:v>
                </c:pt>
                <c:pt idx="48">
                  <c:v>2.06888094885727E-3</c:v>
                </c:pt>
                <c:pt idx="49">
                  <c:v>2.2569610351170217E-3</c:v>
                </c:pt>
                <c:pt idx="50">
                  <c:v>2.4802135784529082E-3</c:v>
                </c:pt>
                <c:pt idx="51">
                  <c:v>2.4802135784529082E-3</c:v>
                </c:pt>
                <c:pt idx="52">
                  <c:v>5.1521553801104573E-4</c:v>
                </c:pt>
                <c:pt idx="53">
                  <c:v>6.182586456132547E-4</c:v>
                </c:pt>
                <c:pt idx="54">
                  <c:v>7.2130175321546389E-4</c:v>
                </c:pt>
                <c:pt idx="55">
                  <c:v>8.2434486081767308E-4</c:v>
                </c:pt>
                <c:pt idx="56">
                  <c:v>9.2738796841988227E-4</c:v>
                </c:pt>
                <c:pt idx="57">
                  <c:v>1.0304310760220915E-3</c:v>
                </c:pt>
                <c:pt idx="58">
                  <c:v>1.1334741836243004E-3</c:v>
                </c:pt>
                <c:pt idx="59">
                  <c:v>1.2365172912265094E-3</c:v>
                </c:pt>
                <c:pt idx="60">
                  <c:v>1.4234553384040608E-3</c:v>
                </c:pt>
                <c:pt idx="61">
                  <c:v>1.4234553384040608E-3</c:v>
                </c:pt>
                <c:pt idx="62">
                  <c:v>5.9908827186075429E-4</c:v>
                </c:pt>
                <c:pt idx="63">
                  <c:v>6.4005157250080586E-4</c:v>
                </c:pt>
                <c:pt idx="64">
                  <c:v>7.0405672975088645E-4</c:v>
                </c:pt>
                <c:pt idx="65">
                  <c:v>7.6806188700096693E-4</c:v>
                </c:pt>
                <c:pt idx="66">
                  <c:v>8.3206704425104762E-4</c:v>
                </c:pt>
                <c:pt idx="67">
                  <c:v>8.9607220150112821E-4</c:v>
                </c:pt>
                <c:pt idx="68">
                  <c:v>9.600773587512088E-4</c:v>
                </c:pt>
                <c:pt idx="69">
                  <c:v>1.0240825160012894E-3</c:v>
                </c:pt>
                <c:pt idx="70">
                  <c:v>1.08808767325137E-3</c:v>
                </c:pt>
                <c:pt idx="71">
                  <c:v>1.1520928305014506E-3</c:v>
                </c:pt>
                <c:pt idx="72">
                  <c:v>1.2160979877515311E-3</c:v>
                </c:pt>
                <c:pt idx="73">
                  <c:v>1.2801031450016117E-3</c:v>
                </c:pt>
                <c:pt idx="74">
                  <c:v>1.3569093337017087E-3</c:v>
                </c:pt>
                <c:pt idx="75">
                  <c:v>1.3569093337017087E-3</c:v>
                </c:pt>
                <c:pt idx="76">
                  <c:v>6.9736408632111238E-4</c:v>
                </c:pt>
                <c:pt idx="77">
                  <c:v>7.5032844730752596E-4</c:v>
                </c:pt>
                <c:pt idx="78">
                  <c:v>7.9446541479620395E-4</c:v>
                </c:pt>
                <c:pt idx="79">
                  <c:v>8.3860238228488206E-4</c:v>
                </c:pt>
                <c:pt idx="80">
                  <c:v>8.8273934977356006E-4</c:v>
                </c:pt>
                <c:pt idx="81">
                  <c:v>9.2687631726223795E-4</c:v>
                </c:pt>
                <c:pt idx="82">
                  <c:v>9.7101328475091594E-4</c:v>
                </c:pt>
                <c:pt idx="83">
                  <c:v>1.015150252239594E-3</c:v>
                </c:pt>
                <c:pt idx="84">
                  <c:v>1.0592872197282719E-3</c:v>
                </c:pt>
                <c:pt idx="85">
                  <c:v>1.1034241872169498E-3</c:v>
                </c:pt>
                <c:pt idx="86">
                  <c:v>1.310190240818438E-3</c:v>
                </c:pt>
                <c:pt idx="87">
                  <c:v>1.310190240818438E-3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02528"/>
        <c:axId val="153304064"/>
      </c:scatterChart>
      <c:valAx>
        <c:axId val="153302528"/>
        <c:scaling>
          <c:orientation val="minMax"/>
        </c:scaling>
        <c:delete val="0"/>
        <c:axPos val="b"/>
        <c:majorTickMark val="out"/>
        <c:minorTickMark val="none"/>
        <c:tickLblPos val="nextTo"/>
        <c:crossAx val="153304064"/>
        <c:crosses val="autoZero"/>
        <c:crossBetween val="midCat"/>
      </c:valAx>
      <c:valAx>
        <c:axId val="15330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02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PCA!$W$2:$W$89</c:f>
              <c:numCache>
                <c:formatCode>General</c:formatCode>
                <c:ptCount val="88"/>
                <c:pt idx="0">
                  <c:v>0.2181901639344262</c:v>
                </c:pt>
                <c:pt idx="1">
                  <c:v>0.23318032786885245</c:v>
                </c:pt>
                <c:pt idx="2">
                  <c:v>0.26649180327868849</c:v>
                </c:pt>
                <c:pt idx="3">
                  <c:v>0.29980327868852452</c:v>
                </c:pt>
                <c:pt idx="4">
                  <c:v>0.33311475409836061</c:v>
                </c:pt>
                <c:pt idx="5">
                  <c:v>0.3664262295081967</c:v>
                </c:pt>
                <c:pt idx="6">
                  <c:v>0.39973770491803273</c:v>
                </c:pt>
                <c:pt idx="7">
                  <c:v>0.43304918032786888</c:v>
                </c:pt>
                <c:pt idx="8">
                  <c:v>0.46636065573770491</c:v>
                </c:pt>
                <c:pt idx="9">
                  <c:v>1</c:v>
                </c:pt>
                <c:pt idx="10">
                  <c:v>1</c:v>
                </c:pt>
                <c:pt idx="11">
                  <c:v>0.33202614379084966</c:v>
                </c:pt>
                <c:pt idx="12">
                  <c:v>0.40689478405741381</c:v>
                </c:pt>
                <c:pt idx="13">
                  <c:v>0.48827374086889647</c:v>
                </c:pt>
                <c:pt idx="14">
                  <c:v>0.56965269768037929</c:v>
                </c:pt>
                <c:pt idx="15">
                  <c:v>0.65103165449186207</c:v>
                </c:pt>
                <c:pt idx="16">
                  <c:v>0.73241061130334495</c:v>
                </c:pt>
                <c:pt idx="17">
                  <c:v>0.81378956811482761</c:v>
                </c:pt>
                <c:pt idx="18">
                  <c:v>0.89516852492631027</c:v>
                </c:pt>
                <c:pt idx="19">
                  <c:v>1</c:v>
                </c:pt>
                <c:pt idx="20">
                  <c:v>1</c:v>
                </c:pt>
                <c:pt idx="21">
                  <c:v>0.42396423248882265</c:v>
                </c:pt>
                <c:pt idx="22">
                  <c:v>0.4542473919523099</c:v>
                </c:pt>
                <c:pt idx="23">
                  <c:v>0.52995529061102831</c:v>
                </c:pt>
                <c:pt idx="24">
                  <c:v>0.60566318926974672</c:v>
                </c:pt>
                <c:pt idx="25">
                  <c:v>0.68137108792846501</c:v>
                </c:pt>
                <c:pt idx="26">
                  <c:v>0.75707898658718331</c:v>
                </c:pt>
                <c:pt idx="27">
                  <c:v>0.83278688524590161</c:v>
                </c:pt>
                <c:pt idx="28">
                  <c:v>0.9084947839046198</c:v>
                </c:pt>
                <c:pt idx="29">
                  <c:v>1</c:v>
                </c:pt>
                <c:pt idx="30">
                  <c:v>1</c:v>
                </c:pt>
                <c:pt idx="31">
                  <c:v>0.34862745098039211</c:v>
                </c:pt>
                <c:pt idx="32">
                  <c:v>0.415032679738562</c:v>
                </c:pt>
                <c:pt idx="33">
                  <c:v>0.48420479302832237</c:v>
                </c:pt>
                <c:pt idx="34">
                  <c:v>0.55337690631808278</c:v>
                </c:pt>
                <c:pt idx="35">
                  <c:v>0.62254901960784315</c:v>
                </c:pt>
                <c:pt idx="36">
                  <c:v>0.69172113289760351</c:v>
                </c:pt>
                <c:pt idx="37">
                  <c:v>0.76089324618736365</c:v>
                </c:pt>
                <c:pt idx="38">
                  <c:v>0.83006535947712401</c:v>
                </c:pt>
                <c:pt idx="39">
                  <c:v>1</c:v>
                </c:pt>
                <c:pt idx="40">
                  <c:v>1</c:v>
                </c:pt>
                <c:pt idx="41">
                  <c:v>0.34124496193461712</c:v>
                </c:pt>
                <c:pt idx="42">
                  <c:v>0.37916106881624123</c:v>
                </c:pt>
                <c:pt idx="43">
                  <c:v>0.45499328257948951</c:v>
                </c:pt>
                <c:pt idx="44">
                  <c:v>0.53082549634273768</c:v>
                </c:pt>
                <c:pt idx="45">
                  <c:v>0.60665771010598601</c:v>
                </c:pt>
                <c:pt idx="46">
                  <c:v>0.68248992386923424</c:v>
                </c:pt>
                <c:pt idx="47">
                  <c:v>0.75832213763248246</c:v>
                </c:pt>
                <c:pt idx="48">
                  <c:v>0.83415435139573069</c:v>
                </c:pt>
                <c:pt idx="49">
                  <c:v>0.90998656515897902</c:v>
                </c:pt>
                <c:pt idx="50">
                  <c:v>1</c:v>
                </c:pt>
                <c:pt idx="51">
                  <c:v>1</c:v>
                </c:pt>
                <c:pt idx="52">
                  <c:v>0.36194710442316463</c:v>
                </c:pt>
                <c:pt idx="53">
                  <c:v>0.43433652530779748</c:v>
                </c:pt>
                <c:pt idx="54">
                  <c:v>0.50672594619243039</c:v>
                </c:pt>
                <c:pt idx="55">
                  <c:v>0.57911536707706335</c:v>
                </c:pt>
                <c:pt idx="56">
                  <c:v>0.65150478796169631</c:v>
                </c:pt>
                <c:pt idx="57">
                  <c:v>0.72389420884632927</c:v>
                </c:pt>
                <c:pt idx="58">
                  <c:v>0.79628362973096201</c:v>
                </c:pt>
                <c:pt idx="59">
                  <c:v>0.86867305061559497</c:v>
                </c:pt>
                <c:pt idx="60">
                  <c:v>1</c:v>
                </c:pt>
                <c:pt idx="61">
                  <c:v>1</c:v>
                </c:pt>
                <c:pt idx="62">
                  <c:v>0.44150943396226405</c:v>
                </c:pt>
                <c:pt idx="63">
                  <c:v>0.47169811320754712</c:v>
                </c:pt>
                <c:pt idx="64">
                  <c:v>0.51886792452830177</c:v>
                </c:pt>
                <c:pt idx="65">
                  <c:v>0.56603773584905637</c:v>
                </c:pt>
                <c:pt idx="66">
                  <c:v>0.61320754716981118</c:v>
                </c:pt>
                <c:pt idx="67">
                  <c:v>0.66037735849056589</c:v>
                </c:pt>
                <c:pt idx="68">
                  <c:v>0.7075471698113206</c:v>
                </c:pt>
                <c:pt idx="69">
                  <c:v>0.7547169811320753</c:v>
                </c:pt>
                <c:pt idx="70">
                  <c:v>0.80188679245283001</c:v>
                </c:pt>
                <c:pt idx="71">
                  <c:v>0.84905660377358483</c:v>
                </c:pt>
                <c:pt idx="72">
                  <c:v>0.89622641509433953</c:v>
                </c:pt>
                <c:pt idx="73">
                  <c:v>0.94339622641509424</c:v>
                </c:pt>
                <c:pt idx="74">
                  <c:v>1</c:v>
                </c:pt>
                <c:pt idx="75">
                  <c:v>1</c:v>
                </c:pt>
                <c:pt idx="76">
                  <c:v>0.53226170108356874</c:v>
                </c:pt>
                <c:pt idx="77">
                  <c:v>0.57268664040637152</c:v>
                </c:pt>
                <c:pt idx="78">
                  <c:v>0.60637408984204033</c:v>
                </c:pt>
                <c:pt idx="79">
                  <c:v>0.64006153927770937</c:v>
                </c:pt>
                <c:pt idx="80">
                  <c:v>0.67374898871337829</c:v>
                </c:pt>
                <c:pt idx="81">
                  <c:v>0.70743643814904711</c:v>
                </c:pt>
                <c:pt idx="82">
                  <c:v>0.74112388758471592</c:v>
                </c:pt>
                <c:pt idx="83">
                  <c:v>0.77481133702038485</c:v>
                </c:pt>
                <c:pt idx="84">
                  <c:v>0.80849878645605366</c:v>
                </c:pt>
                <c:pt idx="85">
                  <c:v>0.84218623589172259</c:v>
                </c:pt>
                <c:pt idx="86">
                  <c:v>1</c:v>
                </c:pt>
                <c:pt idx="8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20832"/>
        <c:axId val="153326720"/>
      </c:scatterChart>
      <c:valAx>
        <c:axId val="153320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3326720"/>
        <c:crosses val="autoZero"/>
        <c:crossBetween val="midCat"/>
      </c:valAx>
      <c:valAx>
        <c:axId val="15332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20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PCA!$V$2:$V$89</c:f>
              <c:numCache>
                <c:formatCode>General</c:formatCode>
                <c:ptCount val="88"/>
                <c:pt idx="0">
                  <c:v>0.60987644581154388</c:v>
                </c:pt>
                <c:pt idx="1">
                  <c:v>0.65177635430241332</c:v>
                </c:pt>
                <c:pt idx="2">
                  <c:v>0.74488726205990086</c:v>
                </c:pt>
                <c:pt idx="3">
                  <c:v>0.83799816981738839</c:v>
                </c:pt>
                <c:pt idx="4">
                  <c:v>0.93110907757487604</c:v>
                </c:pt>
                <c:pt idx="5">
                  <c:v>1.0242199853323637</c:v>
                </c:pt>
                <c:pt idx="6">
                  <c:v>1.1173308930898513</c:v>
                </c:pt>
                <c:pt idx="7">
                  <c:v>1.210441800847339</c:v>
                </c:pt>
                <c:pt idx="8">
                  <c:v>1.3035527086048266</c:v>
                </c:pt>
                <c:pt idx="9">
                  <c:v>2.7951601246096183</c:v>
                </c:pt>
                <c:pt idx="10">
                  <c:v>2.7951601246096183</c:v>
                </c:pt>
                <c:pt idx="11">
                  <c:v>0.414372819680492</c:v>
                </c:pt>
                <c:pt idx="12">
                  <c:v>0.50780982803981867</c:v>
                </c:pt>
                <c:pt idx="13">
                  <c:v>0.60937179364778227</c:v>
                </c:pt>
                <c:pt idx="14">
                  <c:v>0.71093375925574598</c:v>
                </c:pt>
                <c:pt idx="15">
                  <c:v>0.8124957248637098</c:v>
                </c:pt>
                <c:pt idx="16">
                  <c:v>0.91405769047167351</c:v>
                </c:pt>
                <c:pt idx="17">
                  <c:v>1.0156196560796373</c:v>
                </c:pt>
                <c:pt idx="18">
                  <c:v>1.1171816216876009</c:v>
                </c:pt>
                <c:pt idx="19">
                  <c:v>1.2480126262030566</c:v>
                </c:pt>
                <c:pt idx="20">
                  <c:v>1.2480126262030566</c:v>
                </c:pt>
                <c:pt idx="21">
                  <c:v>0.44783034780876441</c:v>
                </c:pt>
                <c:pt idx="22">
                  <c:v>0.47981822979510469</c:v>
                </c:pt>
                <c:pt idx="23">
                  <c:v>0.55978793476095545</c:v>
                </c:pt>
                <c:pt idx="24">
                  <c:v>0.63975763972680633</c:v>
                </c:pt>
                <c:pt idx="25">
                  <c:v>0.71972734469265709</c:v>
                </c:pt>
                <c:pt idx="26">
                  <c:v>0.79969704965850796</c:v>
                </c:pt>
                <c:pt idx="27">
                  <c:v>0.87966675462435873</c:v>
                </c:pt>
                <c:pt idx="28">
                  <c:v>0.95963645959020938</c:v>
                </c:pt>
                <c:pt idx="29">
                  <c:v>1.0562927565371234</c:v>
                </c:pt>
                <c:pt idx="30">
                  <c:v>1.0562927565371234</c:v>
                </c:pt>
                <c:pt idx="31">
                  <c:v>0.31025273369651202</c:v>
                </c:pt>
                <c:pt idx="32">
                  <c:v>0.36934849249584761</c:v>
                </c:pt>
                <c:pt idx="33">
                  <c:v>0.43090657457848891</c:v>
                </c:pt>
                <c:pt idx="34">
                  <c:v>0.49246465666113021</c:v>
                </c:pt>
                <c:pt idx="35">
                  <c:v>0.5540227387437715</c:v>
                </c:pt>
                <c:pt idx="36">
                  <c:v>0.61558082082641286</c:v>
                </c:pt>
                <c:pt idx="37">
                  <c:v>0.6771389029090541</c:v>
                </c:pt>
                <c:pt idx="38">
                  <c:v>0.73869698499169523</c:v>
                </c:pt>
                <c:pt idx="39">
                  <c:v>0.88992628900574322</c:v>
                </c:pt>
                <c:pt idx="40">
                  <c:v>0.88992628900574322</c:v>
                </c:pt>
                <c:pt idx="41">
                  <c:v>0.6153009868888577</c:v>
                </c:pt>
                <c:pt idx="42">
                  <c:v>0.68366776320984191</c:v>
                </c:pt>
                <c:pt idx="43">
                  <c:v>0.82040131585181042</c:v>
                </c:pt>
                <c:pt idx="44">
                  <c:v>0.95713486849377871</c:v>
                </c:pt>
                <c:pt idx="45">
                  <c:v>1.093868421135747</c:v>
                </c:pt>
                <c:pt idx="46">
                  <c:v>1.2306019737777154</c:v>
                </c:pt>
                <c:pt idx="47">
                  <c:v>1.3673355264196838</c:v>
                </c:pt>
                <c:pt idx="48">
                  <c:v>1.5040690790616522</c:v>
                </c:pt>
                <c:pt idx="49">
                  <c:v>1.6408026317036208</c:v>
                </c:pt>
                <c:pt idx="50">
                  <c:v>1.8031064353317838</c:v>
                </c:pt>
                <c:pt idx="51">
                  <c:v>1.8031064353317838</c:v>
                </c:pt>
                <c:pt idx="52">
                  <c:v>0.38538587197425755</c:v>
                </c:pt>
                <c:pt idx="53">
                  <c:v>0.46246304636910895</c:v>
                </c:pt>
                <c:pt idx="54">
                  <c:v>0.53954022076396047</c:v>
                </c:pt>
                <c:pt idx="55">
                  <c:v>0.61661739515881198</c:v>
                </c:pt>
                <c:pt idx="56">
                  <c:v>0.69369456955366349</c:v>
                </c:pt>
                <c:pt idx="57">
                  <c:v>0.77077174394851511</c:v>
                </c:pt>
                <c:pt idx="58">
                  <c:v>0.84784891834336651</c:v>
                </c:pt>
                <c:pt idx="59">
                  <c:v>0.92492609273821791</c:v>
                </c:pt>
                <c:pt idx="60">
                  <c:v>1.0647574390419488</c:v>
                </c:pt>
                <c:pt idx="61">
                  <c:v>1.0647574390419488</c:v>
                </c:pt>
                <c:pt idx="62">
                  <c:v>0.43713099567322267</c:v>
                </c:pt>
                <c:pt idx="63">
                  <c:v>0.4670202945226738</c:v>
                </c:pt>
                <c:pt idx="64">
                  <c:v>0.51372232397494111</c:v>
                </c:pt>
                <c:pt idx="65">
                  <c:v>0.56042435342720853</c:v>
                </c:pt>
                <c:pt idx="66">
                  <c:v>0.60712638287947585</c:v>
                </c:pt>
                <c:pt idx="67">
                  <c:v>0.65382841233174327</c:v>
                </c:pt>
                <c:pt idx="68">
                  <c:v>0.70053044178401069</c:v>
                </c:pt>
                <c:pt idx="69">
                  <c:v>0.74723247123627801</c:v>
                </c:pt>
                <c:pt idx="70">
                  <c:v>0.79393450068854554</c:v>
                </c:pt>
                <c:pt idx="71">
                  <c:v>0.84063653014081285</c:v>
                </c:pt>
                <c:pt idx="72">
                  <c:v>0.88733855959308017</c:v>
                </c:pt>
                <c:pt idx="73">
                  <c:v>0.93404058904534759</c:v>
                </c:pt>
                <c:pt idx="74">
                  <c:v>0.9900830243880685</c:v>
                </c:pt>
                <c:pt idx="75">
                  <c:v>0.9900830243880685</c:v>
                </c:pt>
                <c:pt idx="76">
                  <c:v>0.49180184547436118</c:v>
                </c:pt>
                <c:pt idx="77">
                  <c:v>0.52915388437114808</c:v>
                </c:pt>
                <c:pt idx="78">
                  <c:v>0.56028058345180387</c:v>
                </c:pt>
                <c:pt idx="79">
                  <c:v>0.59140728253245956</c:v>
                </c:pt>
                <c:pt idx="80">
                  <c:v>0.62253398161311546</c:v>
                </c:pt>
                <c:pt idx="81">
                  <c:v>0.65366068069377103</c:v>
                </c:pt>
                <c:pt idx="82">
                  <c:v>0.68478737977442683</c:v>
                </c:pt>
                <c:pt idx="83">
                  <c:v>0.71591407885508263</c:v>
                </c:pt>
                <c:pt idx="84">
                  <c:v>0.74704077793573831</c:v>
                </c:pt>
                <c:pt idx="85">
                  <c:v>0.7781674770163941</c:v>
                </c:pt>
                <c:pt idx="86">
                  <c:v>0.92398503306392299</c:v>
                </c:pt>
                <c:pt idx="87">
                  <c:v>0.92398503306392299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68064"/>
        <c:axId val="153369600"/>
      </c:scatterChart>
      <c:valAx>
        <c:axId val="15336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53369600"/>
        <c:crosses val="autoZero"/>
        <c:crossBetween val="midCat"/>
      </c:valAx>
      <c:valAx>
        <c:axId val="15336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680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PCA!$D$2:$D$89</c:f>
              <c:numCache>
                <c:formatCode>General</c:formatCode>
                <c:ptCount val="88"/>
                <c:pt idx="0">
                  <c:v>3.01</c:v>
                </c:pt>
                <c:pt idx="1">
                  <c:v>3.01</c:v>
                </c:pt>
                <c:pt idx="2">
                  <c:v>3.01</c:v>
                </c:pt>
                <c:pt idx="3">
                  <c:v>3.01</c:v>
                </c:pt>
                <c:pt idx="4">
                  <c:v>3.01</c:v>
                </c:pt>
                <c:pt idx="5">
                  <c:v>3.01</c:v>
                </c:pt>
                <c:pt idx="6">
                  <c:v>3.01</c:v>
                </c:pt>
                <c:pt idx="7">
                  <c:v>3.01</c:v>
                </c:pt>
                <c:pt idx="8">
                  <c:v>3.01</c:v>
                </c:pt>
                <c:pt idx="9">
                  <c:v>3.01</c:v>
                </c:pt>
                <c:pt idx="10">
                  <c:v>3.01</c:v>
                </c:pt>
                <c:pt idx="11">
                  <c:v>2.98</c:v>
                </c:pt>
                <c:pt idx="12">
                  <c:v>2.98</c:v>
                </c:pt>
                <c:pt idx="13">
                  <c:v>2.98</c:v>
                </c:pt>
                <c:pt idx="14">
                  <c:v>2.98</c:v>
                </c:pt>
                <c:pt idx="15">
                  <c:v>2.98</c:v>
                </c:pt>
                <c:pt idx="16">
                  <c:v>2.98</c:v>
                </c:pt>
                <c:pt idx="17">
                  <c:v>2.98</c:v>
                </c:pt>
                <c:pt idx="18">
                  <c:v>2.98</c:v>
                </c:pt>
                <c:pt idx="19">
                  <c:v>2.98</c:v>
                </c:pt>
                <c:pt idx="20">
                  <c:v>2.98</c:v>
                </c:pt>
                <c:pt idx="21">
                  <c:v>2.98</c:v>
                </c:pt>
                <c:pt idx="22">
                  <c:v>2.98</c:v>
                </c:pt>
                <c:pt idx="23">
                  <c:v>2.98</c:v>
                </c:pt>
                <c:pt idx="24">
                  <c:v>2.98</c:v>
                </c:pt>
                <c:pt idx="25">
                  <c:v>2.98</c:v>
                </c:pt>
                <c:pt idx="26">
                  <c:v>2.98</c:v>
                </c:pt>
                <c:pt idx="27">
                  <c:v>2.98</c:v>
                </c:pt>
                <c:pt idx="28">
                  <c:v>2.98</c:v>
                </c:pt>
                <c:pt idx="29">
                  <c:v>2.98</c:v>
                </c:pt>
                <c:pt idx="30">
                  <c:v>2.98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2.99</c:v>
                </c:pt>
                <c:pt idx="42">
                  <c:v>2.99</c:v>
                </c:pt>
                <c:pt idx="43">
                  <c:v>2.99</c:v>
                </c:pt>
                <c:pt idx="44">
                  <c:v>2.99</c:v>
                </c:pt>
                <c:pt idx="45">
                  <c:v>2.99</c:v>
                </c:pt>
                <c:pt idx="46">
                  <c:v>2.99</c:v>
                </c:pt>
                <c:pt idx="47">
                  <c:v>2.99</c:v>
                </c:pt>
                <c:pt idx="48">
                  <c:v>2.99</c:v>
                </c:pt>
                <c:pt idx="49">
                  <c:v>2.99</c:v>
                </c:pt>
                <c:pt idx="50">
                  <c:v>2.99</c:v>
                </c:pt>
                <c:pt idx="51">
                  <c:v>2.99</c:v>
                </c:pt>
                <c:pt idx="52">
                  <c:v>2.99</c:v>
                </c:pt>
                <c:pt idx="53">
                  <c:v>2.99</c:v>
                </c:pt>
                <c:pt idx="54">
                  <c:v>2.99</c:v>
                </c:pt>
                <c:pt idx="55">
                  <c:v>2.99</c:v>
                </c:pt>
                <c:pt idx="56">
                  <c:v>2.99</c:v>
                </c:pt>
                <c:pt idx="57">
                  <c:v>2.99</c:v>
                </c:pt>
                <c:pt idx="58">
                  <c:v>2.99</c:v>
                </c:pt>
                <c:pt idx="59">
                  <c:v>2.99</c:v>
                </c:pt>
                <c:pt idx="60">
                  <c:v>2.99</c:v>
                </c:pt>
                <c:pt idx="61">
                  <c:v>2.99</c:v>
                </c:pt>
                <c:pt idx="62">
                  <c:v>2.97</c:v>
                </c:pt>
                <c:pt idx="63">
                  <c:v>2.97</c:v>
                </c:pt>
                <c:pt idx="64">
                  <c:v>2.97</c:v>
                </c:pt>
                <c:pt idx="65">
                  <c:v>2.97</c:v>
                </c:pt>
                <c:pt idx="66">
                  <c:v>2.97</c:v>
                </c:pt>
                <c:pt idx="67">
                  <c:v>2.97</c:v>
                </c:pt>
                <c:pt idx="68">
                  <c:v>2.97</c:v>
                </c:pt>
                <c:pt idx="69">
                  <c:v>2.97</c:v>
                </c:pt>
                <c:pt idx="70">
                  <c:v>2.97</c:v>
                </c:pt>
                <c:pt idx="71">
                  <c:v>2.97</c:v>
                </c:pt>
                <c:pt idx="72">
                  <c:v>2.97</c:v>
                </c:pt>
                <c:pt idx="73">
                  <c:v>2.97</c:v>
                </c:pt>
                <c:pt idx="74">
                  <c:v>2.97</c:v>
                </c:pt>
                <c:pt idx="75">
                  <c:v>2.97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85984"/>
        <c:axId val="153391872"/>
      </c:scatterChart>
      <c:valAx>
        <c:axId val="15338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53391872"/>
        <c:crosses val="autoZero"/>
        <c:crossBetween val="midCat"/>
      </c:valAx>
      <c:valAx>
        <c:axId val="153391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385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PCA_ex_postcap!$U$1</c:f>
              <c:strCache>
                <c:ptCount val="1"/>
                <c:pt idx="0">
                  <c:v>M/(rho 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PCA_ex_postcap!$U$2:$U$73</c:f>
              <c:numCache>
                <c:formatCode>General</c:formatCode>
                <c:ptCount val="72"/>
                <c:pt idx="0">
                  <c:v>0.47920515846994532</c:v>
                </c:pt>
                <c:pt idx="1">
                  <c:v>0.51212765027322404</c:v>
                </c:pt>
                <c:pt idx="2">
                  <c:v>0.58528874316939894</c:v>
                </c:pt>
                <c:pt idx="3">
                  <c:v>0.65844983606557372</c:v>
                </c:pt>
                <c:pt idx="4">
                  <c:v>0.73161092896174862</c:v>
                </c:pt>
                <c:pt idx="5">
                  <c:v>0.80477202185792351</c:v>
                </c:pt>
                <c:pt idx="6">
                  <c:v>0.8779331147540983</c:v>
                </c:pt>
                <c:pt idx="7">
                  <c:v>0.9510942076502733</c:v>
                </c:pt>
                <c:pt idx="8">
                  <c:v>1.0242553005464481</c:v>
                </c:pt>
                <c:pt idx="9">
                  <c:v>0.70693546666666673</c:v>
                </c:pt>
                <c:pt idx="10">
                  <c:v>0.86634248366013089</c:v>
                </c:pt>
                <c:pt idx="11">
                  <c:v>1.0396109803921569</c:v>
                </c:pt>
                <c:pt idx="12">
                  <c:v>1.2128794771241831</c:v>
                </c:pt>
                <c:pt idx="13">
                  <c:v>1.3861479738562095</c:v>
                </c:pt>
                <c:pt idx="14">
                  <c:v>1.5594164705882356</c:v>
                </c:pt>
                <c:pt idx="15">
                  <c:v>1.7326849673202618</c:v>
                </c:pt>
                <c:pt idx="16">
                  <c:v>1.9059534640522877</c:v>
                </c:pt>
                <c:pt idx="17">
                  <c:v>0.98133558963511358</c:v>
                </c:pt>
                <c:pt idx="18">
                  <c:v>1.0514309888947644</c:v>
                </c:pt>
                <c:pt idx="19">
                  <c:v>1.2266694870438921</c:v>
                </c:pt>
                <c:pt idx="20">
                  <c:v>1.4019079851930196</c:v>
                </c:pt>
                <c:pt idx="21">
                  <c:v>1.5771464833421471</c:v>
                </c:pt>
                <c:pt idx="22">
                  <c:v>1.7523849814912744</c:v>
                </c:pt>
                <c:pt idx="23">
                  <c:v>1.9276234796404017</c:v>
                </c:pt>
                <c:pt idx="24">
                  <c:v>2.1028619777895288</c:v>
                </c:pt>
                <c:pt idx="25">
                  <c:v>0.84532126696832577</c:v>
                </c:pt>
                <c:pt idx="26">
                  <c:v>1.006334841628959</c:v>
                </c:pt>
                <c:pt idx="27">
                  <c:v>1.1740573152337856</c:v>
                </c:pt>
                <c:pt idx="28">
                  <c:v>1.3417797888386123</c:v>
                </c:pt>
                <c:pt idx="29">
                  <c:v>1.5095022624434389</c:v>
                </c:pt>
                <c:pt idx="30">
                  <c:v>1.6772247360482657</c:v>
                </c:pt>
                <c:pt idx="31">
                  <c:v>1.8449472096530919</c:v>
                </c:pt>
                <c:pt idx="32">
                  <c:v>2.0126696832579181</c:v>
                </c:pt>
                <c:pt idx="33">
                  <c:v>0.46796340605207609</c:v>
                </c:pt>
                <c:pt idx="34">
                  <c:v>0.51995934005786226</c:v>
                </c:pt>
                <c:pt idx="35">
                  <c:v>0.62395120806943483</c:v>
                </c:pt>
                <c:pt idx="36">
                  <c:v>0.72794307608100728</c:v>
                </c:pt>
                <c:pt idx="37">
                  <c:v>0.83193494409257973</c:v>
                </c:pt>
                <c:pt idx="38">
                  <c:v>0.93592681210415218</c:v>
                </c:pt>
                <c:pt idx="39">
                  <c:v>1.0399186801157245</c:v>
                </c:pt>
                <c:pt idx="40">
                  <c:v>1.1439105481272971</c:v>
                </c:pt>
                <c:pt idx="41">
                  <c:v>1.2479024161388697</c:v>
                </c:pt>
                <c:pt idx="42">
                  <c:v>0.67910130718954265</c:v>
                </c:pt>
                <c:pt idx="43">
                  <c:v>0.81492156862745102</c:v>
                </c:pt>
                <c:pt idx="44">
                  <c:v>0.95074183006535951</c:v>
                </c:pt>
                <c:pt idx="45">
                  <c:v>1.0865620915032681</c:v>
                </c:pt>
                <c:pt idx="46">
                  <c:v>1.2223823529411768</c:v>
                </c:pt>
                <c:pt idx="47">
                  <c:v>1.3582026143790853</c:v>
                </c:pt>
                <c:pt idx="48">
                  <c:v>1.4940228758169936</c:v>
                </c:pt>
                <c:pt idx="49">
                  <c:v>1.629843137254902</c:v>
                </c:pt>
                <c:pt idx="50">
                  <c:v>0.93618141732283466</c:v>
                </c:pt>
                <c:pt idx="51">
                  <c:v>1.0001938219261055</c:v>
                </c:pt>
                <c:pt idx="52">
                  <c:v>1.100213204118716</c:v>
                </c:pt>
                <c:pt idx="53">
                  <c:v>1.2002325863113263</c:v>
                </c:pt>
                <c:pt idx="54">
                  <c:v>1.3002519685039371</c:v>
                </c:pt>
                <c:pt idx="55">
                  <c:v>1.4002713506965476</c:v>
                </c:pt>
                <c:pt idx="56">
                  <c:v>1.5002907328891582</c:v>
                </c:pt>
                <c:pt idx="57">
                  <c:v>1.6003101150817687</c:v>
                </c:pt>
                <c:pt idx="58">
                  <c:v>1.7003294972743792</c:v>
                </c:pt>
                <c:pt idx="59">
                  <c:v>1.8003488794669902</c:v>
                </c:pt>
                <c:pt idx="60">
                  <c:v>1.9003682616596007</c:v>
                </c:pt>
                <c:pt idx="61">
                  <c:v>2.000387643852211</c:v>
                </c:pt>
                <c:pt idx="62">
                  <c:v>1.3228460283598946</c:v>
                </c:pt>
                <c:pt idx="63">
                  <c:v>1.423315346969507</c:v>
                </c:pt>
                <c:pt idx="64">
                  <c:v>1.5070397791441839</c:v>
                </c:pt>
                <c:pt idx="65">
                  <c:v>1.5907642113188607</c:v>
                </c:pt>
                <c:pt idx="66">
                  <c:v>1.6744886434935378</c:v>
                </c:pt>
                <c:pt idx="67">
                  <c:v>1.7582130756682144</c:v>
                </c:pt>
                <c:pt idx="68">
                  <c:v>1.841937507842891</c:v>
                </c:pt>
                <c:pt idx="69">
                  <c:v>1.9256619400175681</c:v>
                </c:pt>
                <c:pt idx="70">
                  <c:v>2.0093863721922447</c:v>
                </c:pt>
                <c:pt idx="71">
                  <c:v>2.0931108043669218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69056"/>
        <c:axId val="155074944"/>
      </c:scatterChart>
      <c:valAx>
        <c:axId val="155069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5074944"/>
        <c:crosses val="autoZero"/>
        <c:crossBetween val="midCat"/>
      </c:valAx>
      <c:valAx>
        <c:axId val="155074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069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847462817147857"/>
          <c:y val="0.17628499562554681"/>
          <c:w val="0.69070713035870512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PCA_ex_postcap!$L$1</c:f>
              <c:strCache>
                <c:ptCount val="1"/>
                <c:pt idx="0">
                  <c:v>V/(bd)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PCA_ex_postcap!$L$2:$L$73</c:f>
              <c:numCache>
                <c:formatCode>General</c:formatCode>
                <c:ptCount val="72"/>
                <c:pt idx="0">
                  <c:v>8.2347088750706619E-4</c:v>
                </c:pt>
                <c:pt idx="1">
                  <c:v>8.8004522328999444E-4</c:v>
                </c:pt>
                <c:pt idx="2">
                  <c:v>1.0057659694742793E-3</c:v>
                </c:pt>
                <c:pt idx="3">
                  <c:v>1.1314867156585642E-3</c:v>
                </c:pt>
                <c:pt idx="4">
                  <c:v>1.2572074618428491E-3</c:v>
                </c:pt>
                <c:pt idx="5">
                  <c:v>1.382928208027134E-3</c:v>
                </c:pt>
                <c:pt idx="6">
                  <c:v>1.5086489542114191E-3</c:v>
                </c:pt>
                <c:pt idx="7">
                  <c:v>1.634369700395704E-3</c:v>
                </c:pt>
                <c:pt idx="8">
                  <c:v>1.7600904465799889E-3</c:v>
                </c:pt>
                <c:pt idx="9">
                  <c:v>5.5949685534591198E-4</c:v>
                </c:pt>
                <c:pt idx="10">
                  <c:v>6.8565791096312752E-4</c:v>
                </c:pt>
                <c:pt idx="11">
                  <c:v>8.2278949315575287E-4</c:v>
                </c:pt>
                <c:pt idx="12">
                  <c:v>9.5992107534837833E-4</c:v>
                </c:pt>
                <c:pt idx="13">
                  <c:v>1.0970526575410039E-3</c:v>
                </c:pt>
                <c:pt idx="14">
                  <c:v>1.2341842397336294E-3</c:v>
                </c:pt>
                <c:pt idx="15">
                  <c:v>1.371315821926255E-3</c:v>
                </c:pt>
                <c:pt idx="16">
                  <c:v>1.5084474041188803E-3</c:v>
                </c:pt>
                <c:pt idx="17">
                  <c:v>5.996196528730652E-4</c:v>
                </c:pt>
                <c:pt idx="18">
                  <c:v>6.4244962807828406E-4</c:v>
                </c:pt>
                <c:pt idx="19">
                  <c:v>7.4952456609133147E-4</c:v>
                </c:pt>
                <c:pt idx="20">
                  <c:v>8.5659950410437889E-4</c:v>
                </c:pt>
                <c:pt idx="21">
                  <c:v>9.636744421174263E-4</c:v>
                </c:pt>
                <c:pt idx="22">
                  <c:v>1.0707493801304737E-3</c:v>
                </c:pt>
                <c:pt idx="23">
                  <c:v>1.1778243181435209E-3</c:v>
                </c:pt>
                <c:pt idx="24">
                  <c:v>1.2848992561565681E-3</c:v>
                </c:pt>
                <c:pt idx="25">
                  <c:v>4.4562759410333476E-4</c:v>
                </c:pt>
                <c:pt idx="26">
                  <c:v>5.30509040599208E-4</c:v>
                </c:pt>
                <c:pt idx="27">
                  <c:v>6.1892721403240944E-4</c:v>
                </c:pt>
                <c:pt idx="28">
                  <c:v>7.0734538746561077E-4</c:v>
                </c:pt>
                <c:pt idx="29">
                  <c:v>7.9576356089881221E-4</c:v>
                </c:pt>
                <c:pt idx="30">
                  <c:v>8.8418173433201354E-4</c:v>
                </c:pt>
                <c:pt idx="31">
                  <c:v>9.7259990776521487E-4</c:v>
                </c:pt>
                <c:pt idx="32">
                  <c:v>1.061018081198416E-3</c:v>
                </c:pt>
                <c:pt idx="33">
                  <c:v>8.463603881688831E-4</c:v>
                </c:pt>
                <c:pt idx="34">
                  <c:v>9.4040043129875906E-4</c:v>
                </c:pt>
                <c:pt idx="35">
                  <c:v>1.1284805175585109E-3</c:v>
                </c:pt>
                <c:pt idx="36">
                  <c:v>1.3165606038182626E-3</c:v>
                </c:pt>
                <c:pt idx="37">
                  <c:v>1.5046406900780145E-3</c:v>
                </c:pt>
                <c:pt idx="38">
                  <c:v>1.6927207763377662E-3</c:v>
                </c:pt>
                <c:pt idx="39">
                  <c:v>1.8808008625975181E-3</c:v>
                </c:pt>
                <c:pt idx="40">
                  <c:v>2.06888094885727E-3</c:v>
                </c:pt>
                <c:pt idx="41">
                  <c:v>2.2569610351170217E-3</c:v>
                </c:pt>
                <c:pt idx="42">
                  <c:v>5.1521553801104573E-4</c:v>
                </c:pt>
                <c:pt idx="43">
                  <c:v>6.182586456132547E-4</c:v>
                </c:pt>
                <c:pt idx="44">
                  <c:v>7.2130175321546389E-4</c:v>
                </c:pt>
                <c:pt idx="45">
                  <c:v>8.2434486081767308E-4</c:v>
                </c:pt>
                <c:pt idx="46">
                  <c:v>9.2738796841988227E-4</c:v>
                </c:pt>
                <c:pt idx="47">
                  <c:v>1.0304310760220915E-3</c:v>
                </c:pt>
                <c:pt idx="48">
                  <c:v>1.1334741836243004E-3</c:v>
                </c:pt>
                <c:pt idx="49">
                  <c:v>1.2365172912265094E-3</c:v>
                </c:pt>
                <c:pt idx="50">
                  <c:v>5.9908827186075429E-4</c:v>
                </c:pt>
                <c:pt idx="51">
                  <c:v>6.4005157250080586E-4</c:v>
                </c:pt>
                <c:pt idx="52">
                  <c:v>7.0405672975088645E-4</c:v>
                </c:pt>
                <c:pt idx="53">
                  <c:v>7.6806188700096693E-4</c:v>
                </c:pt>
                <c:pt idx="54">
                  <c:v>8.3206704425104762E-4</c:v>
                </c:pt>
                <c:pt idx="55">
                  <c:v>8.9607220150112821E-4</c:v>
                </c:pt>
                <c:pt idx="56">
                  <c:v>9.600773587512088E-4</c:v>
                </c:pt>
                <c:pt idx="57">
                  <c:v>1.0240825160012894E-3</c:v>
                </c:pt>
                <c:pt idx="58">
                  <c:v>1.08808767325137E-3</c:v>
                </c:pt>
                <c:pt idx="59">
                  <c:v>1.1520928305014506E-3</c:v>
                </c:pt>
                <c:pt idx="60">
                  <c:v>1.2160979877515311E-3</c:v>
                </c:pt>
                <c:pt idx="61">
                  <c:v>1.2801031450016117E-3</c:v>
                </c:pt>
                <c:pt idx="62">
                  <c:v>6.9736408632111238E-4</c:v>
                </c:pt>
                <c:pt idx="63">
                  <c:v>7.5032844730752596E-4</c:v>
                </c:pt>
                <c:pt idx="64">
                  <c:v>7.9446541479620395E-4</c:v>
                </c:pt>
                <c:pt idx="65">
                  <c:v>8.3860238228488206E-4</c:v>
                </c:pt>
                <c:pt idx="66">
                  <c:v>8.8273934977356006E-4</c:v>
                </c:pt>
                <c:pt idx="67">
                  <c:v>9.2687631726223795E-4</c:v>
                </c:pt>
                <c:pt idx="68">
                  <c:v>9.7101328475091594E-4</c:v>
                </c:pt>
                <c:pt idx="69">
                  <c:v>1.015150252239594E-3</c:v>
                </c:pt>
                <c:pt idx="70">
                  <c:v>1.0592872197282719E-3</c:v>
                </c:pt>
                <c:pt idx="71">
                  <c:v>1.1034241872169498E-3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07712"/>
        <c:axId val="155109248"/>
      </c:scatterChart>
      <c:valAx>
        <c:axId val="155107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55109248"/>
        <c:crosses val="autoZero"/>
        <c:crossBetween val="midCat"/>
      </c:valAx>
      <c:valAx>
        <c:axId val="15510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107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PCA_ex_postcap!$M$1</c:f>
              <c:strCache>
                <c:ptCount val="1"/>
                <c:pt idx="0">
                  <c:v>M/(bd)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PCA_ex_postcap!$M$2:$M$73</c:f>
              <c:numCache>
                <c:formatCode>General</c:formatCode>
                <c:ptCount val="72"/>
                <c:pt idx="0">
                  <c:v>0.57504619016393443</c:v>
                </c:pt>
                <c:pt idx="1">
                  <c:v>0.61455318032786888</c:v>
                </c:pt>
                <c:pt idx="2">
                  <c:v>0.70234649180327868</c:v>
                </c:pt>
                <c:pt idx="3">
                  <c:v>0.79013980327868849</c:v>
                </c:pt>
                <c:pt idx="4">
                  <c:v>0.87793311475409841</c:v>
                </c:pt>
                <c:pt idx="5">
                  <c:v>0.96572642622950822</c:v>
                </c:pt>
                <c:pt idx="6">
                  <c:v>1.0535197377049179</c:v>
                </c:pt>
                <c:pt idx="7">
                  <c:v>1.1413130491803281</c:v>
                </c:pt>
                <c:pt idx="8">
                  <c:v>1.2291063606557378</c:v>
                </c:pt>
                <c:pt idx="9">
                  <c:v>0.88366933333333342</c:v>
                </c:pt>
                <c:pt idx="10">
                  <c:v>1.0829281045751635</c:v>
                </c:pt>
                <c:pt idx="11">
                  <c:v>1.2995137254901961</c:v>
                </c:pt>
                <c:pt idx="12">
                  <c:v>1.516099346405229</c:v>
                </c:pt>
                <c:pt idx="13">
                  <c:v>1.7326849673202618</c:v>
                </c:pt>
                <c:pt idx="14">
                  <c:v>1.9492705882352945</c:v>
                </c:pt>
                <c:pt idx="15">
                  <c:v>2.1658562091503271</c:v>
                </c:pt>
                <c:pt idx="16">
                  <c:v>2.3824418300653596</c:v>
                </c:pt>
                <c:pt idx="17">
                  <c:v>1.216856131147541</c:v>
                </c:pt>
                <c:pt idx="18">
                  <c:v>1.3037744262295079</c:v>
                </c:pt>
                <c:pt idx="19">
                  <c:v>1.5210701639344262</c:v>
                </c:pt>
                <c:pt idx="20">
                  <c:v>1.7383659016393445</c:v>
                </c:pt>
                <c:pt idx="21">
                  <c:v>1.9556616393442625</c:v>
                </c:pt>
                <c:pt idx="22">
                  <c:v>2.1729573770491806</c:v>
                </c:pt>
                <c:pt idx="23">
                  <c:v>2.3902531147540982</c:v>
                </c:pt>
                <c:pt idx="24">
                  <c:v>2.6075488524590158</c:v>
                </c:pt>
                <c:pt idx="25">
                  <c:v>1.0989176470588236</c:v>
                </c:pt>
                <c:pt idx="26">
                  <c:v>1.3082352941176469</c:v>
                </c:pt>
                <c:pt idx="27">
                  <c:v>1.5262745098039217</c:v>
                </c:pt>
                <c:pt idx="28">
                  <c:v>1.7443137254901961</c:v>
                </c:pt>
                <c:pt idx="29">
                  <c:v>1.9623529411764709</c:v>
                </c:pt>
                <c:pt idx="30">
                  <c:v>2.1803921568627458</c:v>
                </c:pt>
                <c:pt idx="31">
                  <c:v>2.3984313725490196</c:v>
                </c:pt>
                <c:pt idx="32">
                  <c:v>2.6164705882352939</c:v>
                </c:pt>
                <c:pt idx="33">
                  <c:v>0.58963389162561586</c:v>
                </c:pt>
                <c:pt idx="34">
                  <c:v>0.65514876847290648</c:v>
                </c:pt>
                <c:pt idx="35">
                  <c:v>0.78617852216748785</c:v>
                </c:pt>
                <c:pt idx="36">
                  <c:v>0.9172082758620691</c:v>
                </c:pt>
                <c:pt idx="37">
                  <c:v>1.0482380295566505</c:v>
                </c:pt>
                <c:pt idx="38">
                  <c:v>1.1792677832512317</c:v>
                </c:pt>
                <c:pt idx="39">
                  <c:v>1.310297536945813</c:v>
                </c:pt>
                <c:pt idx="40">
                  <c:v>1.4413272906403942</c:v>
                </c:pt>
                <c:pt idx="41">
                  <c:v>1.5723570443349757</c:v>
                </c:pt>
                <c:pt idx="42">
                  <c:v>0.81492156862745113</c:v>
                </c:pt>
                <c:pt idx="43">
                  <c:v>0.97790588235294118</c:v>
                </c:pt>
                <c:pt idx="44">
                  <c:v>1.1408901960784315</c:v>
                </c:pt>
                <c:pt idx="45">
                  <c:v>1.3038745098039215</c:v>
                </c:pt>
                <c:pt idx="46">
                  <c:v>1.466858823529412</c:v>
                </c:pt>
                <c:pt idx="47">
                  <c:v>1.6298431372549023</c:v>
                </c:pt>
                <c:pt idx="48">
                  <c:v>1.7928274509803921</c:v>
                </c:pt>
                <c:pt idx="49">
                  <c:v>1.9558117647058824</c:v>
                </c:pt>
                <c:pt idx="50">
                  <c:v>1.2170358425196852</c:v>
                </c:pt>
                <c:pt idx="51">
                  <c:v>1.3002519685039373</c:v>
                </c:pt>
                <c:pt idx="52">
                  <c:v>1.4302771653543311</c:v>
                </c:pt>
                <c:pt idx="53">
                  <c:v>1.5603023622047245</c:v>
                </c:pt>
                <c:pt idx="54">
                  <c:v>1.6903275590551186</c:v>
                </c:pt>
                <c:pt idx="55">
                  <c:v>1.8203527559055122</c:v>
                </c:pt>
                <c:pt idx="56">
                  <c:v>1.9503779527559058</c:v>
                </c:pt>
                <c:pt idx="57">
                  <c:v>2.0804031496062994</c:v>
                </c:pt>
                <c:pt idx="58">
                  <c:v>2.2104283464566934</c:v>
                </c:pt>
                <c:pt idx="59">
                  <c:v>2.3404535433070874</c:v>
                </c:pt>
                <c:pt idx="60">
                  <c:v>2.470478740157481</c:v>
                </c:pt>
                <c:pt idx="61">
                  <c:v>2.6005039370078746</c:v>
                </c:pt>
                <c:pt idx="62">
                  <c:v>1.7196998368678633</c:v>
                </c:pt>
                <c:pt idx="63">
                  <c:v>1.8503099510603591</c:v>
                </c:pt>
                <c:pt idx="64">
                  <c:v>1.9591517128874389</c:v>
                </c:pt>
                <c:pt idx="65">
                  <c:v>2.0679934747145192</c:v>
                </c:pt>
                <c:pt idx="66">
                  <c:v>2.1768352365415993</c:v>
                </c:pt>
                <c:pt idx="67">
                  <c:v>2.2856769983686789</c:v>
                </c:pt>
                <c:pt idx="68">
                  <c:v>2.3945187601957585</c:v>
                </c:pt>
                <c:pt idx="69">
                  <c:v>2.5033605220228385</c:v>
                </c:pt>
                <c:pt idx="70">
                  <c:v>2.6122022838499181</c:v>
                </c:pt>
                <c:pt idx="71">
                  <c:v>2.7210440456769982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3088"/>
        <c:axId val="147594624"/>
      </c:scatterChart>
      <c:valAx>
        <c:axId val="147593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47594624"/>
        <c:crosses val="autoZero"/>
        <c:crossBetween val="midCat"/>
      </c:valAx>
      <c:valAx>
        <c:axId val="14759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5930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PCA_ex_postcap!$D$2:$D$73</c:f>
              <c:numCache>
                <c:formatCode>General</c:formatCode>
                <c:ptCount val="72"/>
                <c:pt idx="0">
                  <c:v>3.01</c:v>
                </c:pt>
                <c:pt idx="1">
                  <c:v>3.01</c:v>
                </c:pt>
                <c:pt idx="2">
                  <c:v>3.01</c:v>
                </c:pt>
                <c:pt idx="3">
                  <c:v>3.01</c:v>
                </c:pt>
                <c:pt idx="4">
                  <c:v>3.01</c:v>
                </c:pt>
                <c:pt idx="5">
                  <c:v>3.01</c:v>
                </c:pt>
                <c:pt idx="6">
                  <c:v>3.01</c:v>
                </c:pt>
                <c:pt idx="7">
                  <c:v>3.01</c:v>
                </c:pt>
                <c:pt idx="8">
                  <c:v>3.01</c:v>
                </c:pt>
                <c:pt idx="9">
                  <c:v>2.98</c:v>
                </c:pt>
                <c:pt idx="10">
                  <c:v>2.98</c:v>
                </c:pt>
                <c:pt idx="11">
                  <c:v>2.98</c:v>
                </c:pt>
                <c:pt idx="12">
                  <c:v>2.98</c:v>
                </c:pt>
                <c:pt idx="13">
                  <c:v>2.98</c:v>
                </c:pt>
                <c:pt idx="14">
                  <c:v>2.98</c:v>
                </c:pt>
                <c:pt idx="15">
                  <c:v>2.98</c:v>
                </c:pt>
                <c:pt idx="16">
                  <c:v>2.98</c:v>
                </c:pt>
                <c:pt idx="17">
                  <c:v>2.98</c:v>
                </c:pt>
                <c:pt idx="18">
                  <c:v>2.98</c:v>
                </c:pt>
                <c:pt idx="19">
                  <c:v>2.98</c:v>
                </c:pt>
                <c:pt idx="20">
                  <c:v>2.98</c:v>
                </c:pt>
                <c:pt idx="21">
                  <c:v>2.98</c:v>
                </c:pt>
                <c:pt idx="22">
                  <c:v>2.98</c:v>
                </c:pt>
                <c:pt idx="23">
                  <c:v>2.98</c:v>
                </c:pt>
                <c:pt idx="24">
                  <c:v>2.98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2.99</c:v>
                </c:pt>
                <c:pt idx="34">
                  <c:v>2.99</c:v>
                </c:pt>
                <c:pt idx="35">
                  <c:v>2.99</c:v>
                </c:pt>
                <c:pt idx="36">
                  <c:v>2.99</c:v>
                </c:pt>
                <c:pt idx="37">
                  <c:v>2.99</c:v>
                </c:pt>
                <c:pt idx="38">
                  <c:v>2.99</c:v>
                </c:pt>
                <c:pt idx="39">
                  <c:v>2.99</c:v>
                </c:pt>
                <c:pt idx="40">
                  <c:v>2.99</c:v>
                </c:pt>
                <c:pt idx="41">
                  <c:v>2.99</c:v>
                </c:pt>
                <c:pt idx="42">
                  <c:v>2.99</c:v>
                </c:pt>
                <c:pt idx="43">
                  <c:v>2.99</c:v>
                </c:pt>
                <c:pt idx="44">
                  <c:v>2.99</c:v>
                </c:pt>
                <c:pt idx="45">
                  <c:v>2.99</c:v>
                </c:pt>
                <c:pt idx="46">
                  <c:v>2.99</c:v>
                </c:pt>
                <c:pt idx="47">
                  <c:v>2.99</c:v>
                </c:pt>
                <c:pt idx="48">
                  <c:v>2.99</c:v>
                </c:pt>
                <c:pt idx="49">
                  <c:v>2.99</c:v>
                </c:pt>
                <c:pt idx="50">
                  <c:v>2.97</c:v>
                </c:pt>
                <c:pt idx="51">
                  <c:v>2.97</c:v>
                </c:pt>
                <c:pt idx="52">
                  <c:v>2.97</c:v>
                </c:pt>
                <c:pt idx="53">
                  <c:v>2.97</c:v>
                </c:pt>
                <c:pt idx="54">
                  <c:v>2.97</c:v>
                </c:pt>
                <c:pt idx="55">
                  <c:v>2.97</c:v>
                </c:pt>
                <c:pt idx="56">
                  <c:v>2.97</c:v>
                </c:pt>
                <c:pt idx="57">
                  <c:v>2.97</c:v>
                </c:pt>
                <c:pt idx="58">
                  <c:v>2.97</c:v>
                </c:pt>
                <c:pt idx="59">
                  <c:v>2.97</c:v>
                </c:pt>
                <c:pt idx="60">
                  <c:v>2.97</c:v>
                </c:pt>
                <c:pt idx="61">
                  <c:v>2.97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606912"/>
        <c:axId val="147637376"/>
      </c:scatterChart>
      <c:valAx>
        <c:axId val="147606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7637376"/>
        <c:crosses val="autoZero"/>
        <c:crossBetween val="midCat"/>
      </c:valAx>
      <c:valAx>
        <c:axId val="147637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6069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PCA_ex_postcap!$X$1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PCA_ex_postcap!$X$2:$X$73</c:f>
              <c:numCache>
                <c:formatCode>General</c:formatCode>
                <c:ptCount val="72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530</c:v>
                </c:pt>
                <c:pt idx="10">
                  <c:v>530</c:v>
                </c:pt>
                <c:pt idx="11">
                  <c:v>530</c:v>
                </c:pt>
                <c:pt idx="12">
                  <c:v>530</c:v>
                </c:pt>
                <c:pt idx="13">
                  <c:v>530</c:v>
                </c:pt>
                <c:pt idx="14">
                  <c:v>530</c:v>
                </c:pt>
                <c:pt idx="15">
                  <c:v>530</c:v>
                </c:pt>
                <c:pt idx="16">
                  <c:v>530</c:v>
                </c:pt>
                <c:pt idx="17">
                  <c:v>681</c:v>
                </c:pt>
                <c:pt idx="18">
                  <c:v>681</c:v>
                </c:pt>
                <c:pt idx="19">
                  <c:v>681</c:v>
                </c:pt>
                <c:pt idx="20">
                  <c:v>681</c:v>
                </c:pt>
                <c:pt idx="21">
                  <c:v>681</c:v>
                </c:pt>
                <c:pt idx="22">
                  <c:v>681</c:v>
                </c:pt>
                <c:pt idx="23">
                  <c:v>681</c:v>
                </c:pt>
                <c:pt idx="24">
                  <c:v>681</c:v>
                </c:pt>
                <c:pt idx="25">
                  <c:v>822</c:v>
                </c:pt>
                <c:pt idx="26">
                  <c:v>822</c:v>
                </c:pt>
                <c:pt idx="27">
                  <c:v>822</c:v>
                </c:pt>
                <c:pt idx="28">
                  <c:v>822</c:v>
                </c:pt>
                <c:pt idx="29">
                  <c:v>822</c:v>
                </c:pt>
                <c:pt idx="30">
                  <c:v>822</c:v>
                </c:pt>
                <c:pt idx="31">
                  <c:v>822</c:v>
                </c:pt>
                <c:pt idx="32">
                  <c:v>822</c:v>
                </c:pt>
                <c:pt idx="33">
                  <c:v>233</c:v>
                </c:pt>
                <c:pt idx="34">
                  <c:v>233</c:v>
                </c:pt>
                <c:pt idx="35">
                  <c:v>233</c:v>
                </c:pt>
                <c:pt idx="36">
                  <c:v>233</c:v>
                </c:pt>
                <c:pt idx="37">
                  <c:v>233</c:v>
                </c:pt>
                <c:pt idx="38">
                  <c:v>233</c:v>
                </c:pt>
                <c:pt idx="39">
                  <c:v>233</c:v>
                </c:pt>
                <c:pt idx="40">
                  <c:v>233</c:v>
                </c:pt>
                <c:pt idx="41">
                  <c:v>233</c:v>
                </c:pt>
                <c:pt idx="42">
                  <c:v>529</c:v>
                </c:pt>
                <c:pt idx="43">
                  <c:v>529</c:v>
                </c:pt>
                <c:pt idx="44">
                  <c:v>529</c:v>
                </c:pt>
                <c:pt idx="45">
                  <c:v>529</c:v>
                </c:pt>
                <c:pt idx="46">
                  <c:v>529</c:v>
                </c:pt>
                <c:pt idx="47">
                  <c:v>529</c:v>
                </c:pt>
                <c:pt idx="48">
                  <c:v>529</c:v>
                </c:pt>
                <c:pt idx="49">
                  <c:v>529</c:v>
                </c:pt>
                <c:pt idx="50">
                  <c:v>684</c:v>
                </c:pt>
                <c:pt idx="51">
                  <c:v>684</c:v>
                </c:pt>
                <c:pt idx="52">
                  <c:v>684</c:v>
                </c:pt>
                <c:pt idx="53">
                  <c:v>684</c:v>
                </c:pt>
                <c:pt idx="54">
                  <c:v>684</c:v>
                </c:pt>
                <c:pt idx="55">
                  <c:v>684</c:v>
                </c:pt>
                <c:pt idx="56">
                  <c:v>684</c:v>
                </c:pt>
                <c:pt idx="57">
                  <c:v>684</c:v>
                </c:pt>
                <c:pt idx="58">
                  <c:v>684</c:v>
                </c:pt>
                <c:pt idx="59">
                  <c:v>684</c:v>
                </c:pt>
                <c:pt idx="60">
                  <c:v>684</c:v>
                </c:pt>
                <c:pt idx="61">
                  <c:v>684</c:v>
                </c:pt>
                <c:pt idx="62">
                  <c:v>822</c:v>
                </c:pt>
                <c:pt idx="63">
                  <c:v>822</c:v>
                </c:pt>
                <c:pt idx="64">
                  <c:v>822</c:v>
                </c:pt>
                <c:pt idx="65">
                  <c:v>822</c:v>
                </c:pt>
                <c:pt idx="66">
                  <c:v>822</c:v>
                </c:pt>
                <c:pt idx="67">
                  <c:v>822</c:v>
                </c:pt>
                <c:pt idx="68">
                  <c:v>822</c:v>
                </c:pt>
                <c:pt idx="69">
                  <c:v>822</c:v>
                </c:pt>
                <c:pt idx="70">
                  <c:v>822</c:v>
                </c:pt>
                <c:pt idx="71">
                  <c:v>822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133056"/>
        <c:axId val="155134592"/>
      </c:scatterChart>
      <c:valAx>
        <c:axId val="155133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5134592"/>
        <c:crosses val="autoZero"/>
        <c:crossBetween val="midCat"/>
      </c:valAx>
      <c:valAx>
        <c:axId val="155134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1330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Haunched!$V$2:$V$29</c:f>
              <c:numCache>
                <c:formatCode>General</c:formatCode>
                <c:ptCount val="28"/>
                <c:pt idx="0">
                  <c:v>0.57229576218827727</c:v>
                </c:pt>
                <c:pt idx="1">
                  <c:v>0.85844364328241585</c:v>
                </c:pt>
                <c:pt idx="2">
                  <c:v>1.1445915243765545</c:v>
                </c:pt>
                <c:pt idx="3">
                  <c:v>1.4307394054706932</c:v>
                </c:pt>
                <c:pt idx="4">
                  <c:v>1.7168872865648317</c:v>
                </c:pt>
                <c:pt idx="5">
                  <c:v>2.0030351676589704</c:v>
                </c:pt>
                <c:pt idx="6">
                  <c:v>2.2662912182655779</c:v>
                </c:pt>
                <c:pt idx="7">
                  <c:v>0.14271181913484321</c:v>
                </c:pt>
                <c:pt idx="8">
                  <c:v>0.42813545740452957</c:v>
                </c:pt>
                <c:pt idx="9">
                  <c:v>0.57084727653937284</c:v>
                </c:pt>
                <c:pt idx="10">
                  <c:v>0.71355909567421605</c:v>
                </c:pt>
                <c:pt idx="11">
                  <c:v>0.85627091480905915</c:v>
                </c:pt>
                <c:pt idx="12">
                  <c:v>0.99898273394390236</c:v>
                </c:pt>
                <c:pt idx="13">
                  <c:v>1.1416945530787457</c:v>
                </c:pt>
                <c:pt idx="14">
                  <c:v>1.2844063722135888</c:v>
                </c:pt>
                <c:pt idx="15">
                  <c:v>1.4271181913484321</c:v>
                </c:pt>
                <c:pt idx="16">
                  <c:v>1.5698300104832752</c:v>
                </c:pt>
                <c:pt idx="17">
                  <c:v>1.7125418296181183</c:v>
                </c:pt>
                <c:pt idx="18">
                  <c:v>1.8552536487529616</c:v>
                </c:pt>
                <c:pt idx="19">
                  <c:v>1.9979654678878047</c:v>
                </c:pt>
                <c:pt idx="20">
                  <c:v>2.140677287022648</c:v>
                </c:pt>
                <c:pt idx="21">
                  <c:v>0.67783316652992498</c:v>
                </c:pt>
                <c:pt idx="22">
                  <c:v>0.94896643314189499</c:v>
                </c:pt>
                <c:pt idx="23">
                  <c:v>1.2200996997538649</c:v>
                </c:pt>
                <c:pt idx="24">
                  <c:v>1.491232966365835</c:v>
                </c:pt>
                <c:pt idx="25">
                  <c:v>1.7623662329778049</c:v>
                </c:pt>
                <c:pt idx="26">
                  <c:v>2.0334994995897748</c:v>
                </c:pt>
                <c:pt idx="27">
                  <c:v>2.2910761028711466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10080"/>
        <c:axId val="127315968"/>
      </c:scatterChart>
      <c:valAx>
        <c:axId val="1273100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15968"/>
        <c:crosses val="autoZero"/>
        <c:crossBetween val="midCat"/>
      </c:valAx>
      <c:valAx>
        <c:axId val="12731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10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Haunched!$W$2:$W$29</c:f>
              <c:numCache>
                <c:formatCode>General</c:formatCode>
                <c:ptCount val="28"/>
                <c:pt idx="0">
                  <c:v>0.25252525252525249</c:v>
                </c:pt>
                <c:pt idx="1">
                  <c:v>0.37878787878787878</c:v>
                </c:pt>
                <c:pt idx="2">
                  <c:v>0.50505050505050497</c:v>
                </c:pt>
                <c:pt idx="3">
                  <c:v>0.63131313131313127</c:v>
                </c:pt>
                <c:pt idx="4">
                  <c:v>0.75757575757575757</c:v>
                </c:pt>
                <c:pt idx="5">
                  <c:v>0.88383838383838376</c:v>
                </c:pt>
                <c:pt idx="6">
                  <c:v>1</c:v>
                </c:pt>
                <c:pt idx="7">
                  <c:v>6.6666666666666666E-2</c:v>
                </c:pt>
                <c:pt idx="8">
                  <c:v>0.2</c:v>
                </c:pt>
                <c:pt idx="9">
                  <c:v>0.26666666666666666</c:v>
                </c:pt>
                <c:pt idx="10">
                  <c:v>0.33333333333333337</c:v>
                </c:pt>
                <c:pt idx="11">
                  <c:v>0.4</c:v>
                </c:pt>
                <c:pt idx="12">
                  <c:v>0.46666666666666667</c:v>
                </c:pt>
                <c:pt idx="13">
                  <c:v>0.53333333333333333</c:v>
                </c:pt>
                <c:pt idx="14">
                  <c:v>0.6</c:v>
                </c:pt>
                <c:pt idx="15">
                  <c:v>0.66666666666666674</c:v>
                </c:pt>
                <c:pt idx="16">
                  <c:v>0.73333333333333339</c:v>
                </c:pt>
                <c:pt idx="17">
                  <c:v>0.8</c:v>
                </c:pt>
                <c:pt idx="18">
                  <c:v>0.8666666666666667</c:v>
                </c:pt>
                <c:pt idx="19">
                  <c:v>0.93333333333333335</c:v>
                </c:pt>
                <c:pt idx="20">
                  <c:v>1</c:v>
                </c:pt>
                <c:pt idx="21">
                  <c:v>0.29585798816568049</c:v>
                </c:pt>
                <c:pt idx="22">
                  <c:v>0.41420118343195267</c:v>
                </c:pt>
                <c:pt idx="23">
                  <c:v>0.53254437869822491</c:v>
                </c:pt>
                <c:pt idx="24">
                  <c:v>0.65088757396449703</c:v>
                </c:pt>
                <c:pt idx="25">
                  <c:v>0.76923076923076927</c:v>
                </c:pt>
                <c:pt idx="26">
                  <c:v>0.8875739644970414</c:v>
                </c:pt>
                <c:pt idx="27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23520"/>
        <c:axId val="154535040"/>
      </c:scatterChart>
      <c:valAx>
        <c:axId val="12732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154535040"/>
        <c:crosses val="autoZero"/>
        <c:crossBetween val="midCat"/>
      </c:valAx>
      <c:valAx>
        <c:axId val="15453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235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Haunched!$D$2:$D$29</c:f>
              <c:numCache>
                <c:formatCode>General</c:formatCode>
                <c:ptCount val="28"/>
                <c:pt idx="0">
                  <c:v>5.0037999999999991</c:v>
                </c:pt>
                <c:pt idx="1">
                  <c:v>5.0037999999999991</c:v>
                </c:pt>
                <c:pt idx="2">
                  <c:v>5.0037999999999991</c:v>
                </c:pt>
                <c:pt idx="3">
                  <c:v>5.0037999999999991</c:v>
                </c:pt>
                <c:pt idx="4">
                  <c:v>5.0037999999999991</c:v>
                </c:pt>
                <c:pt idx="5">
                  <c:v>5.0037999999999991</c:v>
                </c:pt>
                <c:pt idx="6">
                  <c:v>5.0037999999999991</c:v>
                </c:pt>
                <c:pt idx="7">
                  <c:v>5.0037999999999991</c:v>
                </c:pt>
                <c:pt idx="8">
                  <c:v>5.0037999999999991</c:v>
                </c:pt>
                <c:pt idx="9">
                  <c:v>5.0037999999999991</c:v>
                </c:pt>
                <c:pt idx="10">
                  <c:v>5.0037999999999991</c:v>
                </c:pt>
                <c:pt idx="11">
                  <c:v>5.0037999999999991</c:v>
                </c:pt>
                <c:pt idx="12">
                  <c:v>5.0037999999999991</c:v>
                </c:pt>
                <c:pt idx="13">
                  <c:v>5.0037999999999991</c:v>
                </c:pt>
                <c:pt idx="14">
                  <c:v>5.0037999999999991</c:v>
                </c:pt>
                <c:pt idx="15">
                  <c:v>5.0037999999999991</c:v>
                </c:pt>
                <c:pt idx="16">
                  <c:v>5.0037999999999991</c:v>
                </c:pt>
                <c:pt idx="17">
                  <c:v>5.0037999999999991</c:v>
                </c:pt>
                <c:pt idx="18">
                  <c:v>5.0037999999999991</c:v>
                </c:pt>
                <c:pt idx="19">
                  <c:v>5.0037999999999991</c:v>
                </c:pt>
                <c:pt idx="20">
                  <c:v>5.0037999999999991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59616"/>
        <c:axId val="154561152"/>
      </c:scatterChart>
      <c:valAx>
        <c:axId val="154559616"/>
        <c:scaling>
          <c:orientation val="minMax"/>
        </c:scaling>
        <c:delete val="0"/>
        <c:axPos val="b"/>
        <c:majorTickMark val="out"/>
        <c:minorTickMark val="none"/>
        <c:tickLblPos val="nextTo"/>
        <c:crossAx val="154561152"/>
        <c:crosses val="autoZero"/>
        <c:crossBetween val="midCat"/>
      </c:valAx>
      <c:valAx>
        <c:axId val="154561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5596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Haunched!$AJ$1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Haunched!$AJ$2:$AJ$331</c:f>
              <c:numCache>
                <c:formatCode>General</c:formatCode>
                <c:ptCount val="33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81376"/>
        <c:axId val="155787264"/>
      </c:scatterChart>
      <c:valAx>
        <c:axId val="155781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55787264"/>
        <c:crosses val="autoZero"/>
        <c:crossBetween val="midCat"/>
      </c:valAx>
      <c:valAx>
        <c:axId val="155787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781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Toronto!$V$2:$V$327</c:f>
              <c:numCache>
                <c:formatCode>General</c:formatCode>
                <c:ptCount val="326"/>
                <c:pt idx="0">
                  <c:v>0.415736852533652</c:v>
                </c:pt>
                <c:pt idx="1">
                  <c:v>0.56898886876174326</c:v>
                </c:pt>
                <c:pt idx="2">
                  <c:v>0.69004165817595386</c:v>
                </c:pt>
                <c:pt idx="3">
                  <c:v>0.81313237333787813</c:v>
                </c:pt>
                <c:pt idx="4">
                  <c:v>0.89505698839598025</c:v>
                </c:pt>
                <c:pt idx="5">
                  <c:v>0.93072357807963579</c:v>
                </c:pt>
                <c:pt idx="6">
                  <c:v>0.99274777846526396</c:v>
                </c:pt>
                <c:pt idx="7">
                  <c:v>0.50806426646856939</c:v>
                </c:pt>
                <c:pt idx="8">
                  <c:v>0.91559284769954208</c:v>
                </c:pt>
                <c:pt idx="9">
                  <c:v>1.3644128710816703</c:v>
                </c:pt>
                <c:pt idx="10">
                  <c:v>1.60677568370802</c:v>
                </c:pt>
                <c:pt idx="11">
                  <c:v>1.7863036930608713</c:v>
                </c:pt>
                <c:pt idx="12">
                  <c:v>1.9658317024137226</c:v>
                </c:pt>
                <c:pt idx="13">
                  <c:v>2.0555957070901485</c:v>
                </c:pt>
                <c:pt idx="14">
                  <c:v>0.884218193805275</c:v>
                </c:pt>
                <c:pt idx="15">
                  <c:v>1.3263272907079127</c:v>
                </c:pt>
                <c:pt idx="16">
                  <c:v>1.6004349307875481</c:v>
                </c:pt>
                <c:pt idx="17">
                  <c:v>1.76843638761055</c:v>
                </c:pt>
                <c:pt idx="18">
                  <c:v>1.945280026371605</c:v>
                </c:pt>
                <c:pt idx="19">
                  <c:v>1.9806487541238162</c:v>
                </c:pt>
                <c:pt idx="20">
                  <c:v>0.55456226691529875</c:v>
                </c:pt>
                <c:pt idx="21">
                  <c:v>0.87897023333215341</c:v>
                </c:pt>
                <c:pt idx="22">
                  <c:v>1.3151674314196808</c:v>
                </c:pt>
                <c:pt idx="23">
                  <c:v>1.5825848091416825</c:v>
                </c:pt>
                <c:pt idx="24">
                  <c:v>1.7557485209452741</c:v>
                </c:pt>
                <c:pt idx="25">
                  <c:v>1.9332961241869309</c:v>
                </c:pt>
                <c:pt idx="26">
                  <c:v>2.0648128673288988</c:v>
                </c:pt>
                <c:pt idx="27">
                  <c:v>0.56383680907118416</c:v>
                </c:pt>
                <c:pt idx="28">
                  <c:v>0.90035601132315579</c:v>
                </c:pt>
                <c:pt idx="29">
                  <c:v>1.3371623930541916</c:v>
                </c:pt>
                <c:pt idx="30">
                  <c:v>1.6090520796418772</c:v>
                </c:pt>
                <c:pt idx="31">
                  <c:v>1.7873403987157694</c:v>
                </c:pt>
                <c:pt idx="32">
                  <c:v>1.9611715098128144</c:v>
                </c:pt>
                <c:pt idx="33">
                  <c:v>0.53889669075030933</c:v>
                </c:pt>
                <c:pt idx="34">
                  <c:v>0.8526574961075849</c:v>
                </c:pt>
                <c:pt idx="35">
                  <c:v>1.2814877539990777</c:v>
                </c:pt>
                <c:pt idx="36">
                  <c:v>1.2829171881920491</c:v>
                </c:pt>
                <c:pt idx="37">
                  <c:v>1.5380711916374874</c:v>
                </c:pt>
                <c:pt idx="38">
                  <c:v>1.7110327289870564</c:v>
                </c:pt>
                <c:pt idx="39">
                  <c:v>1.8325346353896459</c:v>
                </c:pt>
                <c:pt idx="40">
                  <c:v>0.44941380389370261</c:v>
                </c:pt>
                <c:pt idx="41">
                  <c:v>0.91904663372945328</c:v>
                </c:pt>
                <c:pt idx="42">
                  <c:v>1.2636891213779984</c:v>
                </c:pt>
                <c:pt idx="43">
                  <c:v>1.603736375857896</c:v>
                </c:pt>
                <c:pt idx="44">
                  <c:v>1.8334980342902596</c:v>
                </c:pt>
                <c:pt idx="45">
                  <c:v>2.0632596927226228</c:v>
                </c:pt>
                <c:pt idx="46">
                  <c:v>2.1827357551074518</c:v>
                </c:pt>
                <c:pt idx="47">
                  <c:v>0.91444790585510394</c:v>
                </c:pt>
                <c:pt idx="48">
                  <c:v>1.6048560747757075</c:v>
                </c:pt>
                <c:pt idx="49">
                  <c:v>1.8243235721809326</c:v>
                </c:pt>
                <c:pt idx="50">
                  <c:v>2.0575077881739841</c:v>
                </c:pt>
                <c:pt idx="51">
                  <c:v>2.28611976463776</c:v>
                </c:pt>
                <c:pt idx="52">
                  <c:v>2.3135532018134128</c:v>
                </c:pt>
                <c:pt idx="53">
                  <c:v>0.9151899740564734</c:v>
                </c:pt>
                <c:pt idx="54">
                  <c:v>1.6107343543393933</c:v>
                </c:pt>
                <c:pt idx="55">
                  <c:v>1.8303799481129468</c:v>
                </c:pt>
                <c:pt idx="56">
                  <c:v>2.0591774416270652</c:v>
                </c:pt>
                <c:pt idx="57">
                  <c:v>2.2879749351411833</c:v>
                </c:pt>
                <c:pt idx="58">
                  <c:v>2.3657660829359837</c:v>
                </c:pt>
                <c:pt idx="59">
                  <c:v>0.90764785472630105</c:v>
                </c:pt>
                <c:pt idx="60">
                  <c:v>1.5918045291431107</c:v>
                </c:pt>
                <c:pt idx="61">
                  <c:v>1.8244177984448262</c:v>
                </c:pt>
                <c:pt idx="62">
                  <c:v>2.0707142012348778</c:v>
                </c:pt>
                <c:pt idx="63">
                  <c:v>2.2668391145676967</c:v>
                </c:pt>
                <c:pt idx="64">
                  <c:v>0.52054940687331208</c:v>
                </c:pt>
                <c:pt idx="65">
                  <c:v>0.80974352180292997</c:v>
                </c:pt>
                <c:pt idx="66">
                  <c:v>0.89765853274153384</c:v>
                </c:pt>
                <c:pt idx="67">
                  <c:v>0.99482775535788537</c:v>
                </c:pt>
                <c:pt idx="68">
                  <c:v>1.0989376367325479</c:v>
                </c:pt>
                <c:pt idx="69">
                  <c:v>1.1544629067990346</c:v>
                </c:pt>
                <c:pt idx="70">
                  <c:v>0.36133706249883418</c:v>
                </c:pt>
                <c:pt idx="71">
                  <c:v>0.50813024413898555</c:v>
                </c:pt>
                <c:pt idx="72">
                  <c:v>0.79042482421619975</c:v>
                </c:pt>
                <c:pt idx="73">
                  <c:v>0.94850978905943972</c:v>
                </c:pt>
                <c:pt idx="74">
                  <c:v>1.0162604882779711</c:v>
                </c:pt>
                <c:pt idx="75">
                  <c:v>1.0252939148404421</c:v>
                </c:pt>
                <c:pt idx="76">
                  <c:v>0.3124983649730777</c:v>
                </c:pt>
                <c:pt idx="77">
                  <c:v>0.37600070651840906</c:v>
                </c:pt>
                <c:pt idx="78">
                  <c:v>0.58488998791752511</c:v>
                </c:pt>
                <c:pt idx="79">
                  <c:v>0.70186798550103013</c:v>
                </c:pt>
                <c:pt idx="80">
                  <c:v>0.75033029878562518</c:v>
                </c:pt>
                <c:pt idx="81">
                  <c:v>0.86897941062032313</c:v>
                </c:pt>
                <c:pt idx="82">
                  <c:v>0.16990456717568286</c:v>
                </c:pt>
                <c:pt idx="83">
                  <c:v>0.76457055229057291</c:v>
                </c:pt>
                <c:pt idx="84">
                  <c:v>1.18933197022978</c:v>
                </c:pt>
                <c:pt idx="85">
                  <c:v>1.6005010227949326</c:v>
                </c:pt>
                <c:pt idx="86">
                  <c:v>2.0388548061081941</c:v>
                </c:pt>
                <c:pt idx="87">
                  <c:v>2.3582753923984785</c:v>
                </c:pt>
                <c:pt idx="88">
                  <c:v>0.2558469393792504</c:v>
                </c:pt>
                <c:pt idx="89">
                  <c:v>0.5705386748157284</c:v>
                </c:pt>
                <c:pt idx="90">
                  <c:v>0.89802275722116898</c:v>
                </c:pt>
                <c:pt idx="91">
                  <c:v>1.0745571453928517</c:v>
                </c:pt>
                <c:pt idx="92">
                  <c:v>1.2766762275024597</c:v>
                </c:pt>
                <c:pt idx="93">
                  <c:v>1.2766762275024597</c:v>
                </c:pt>
                <c:pt idx="94">
                  <c:v>0.55983304051169314</c:v>
                </c:pt>
                <c:pt idx="95">
                  <c:v>0.87085139635152264</c:v>
                </c:pt>
                <c:pt idx="96">
                  <c:v>1.1196660810233863</c:v>
                </c:pt>
                <c:pt idx="97">
                  <c:v>1.1196660810233863</c:v>
                </c:pt>
                <c:pt idx="98">
                  <c:v>1.244073423359318</c:v>
                </c:pt>
                <c:pt idx="99">
                  <c:v>1.244073423359318</c:v>
                </c:pt>
                <c:pt idx="100">
                  <c:v>0.60851937172112514</c:v>
                </c:pt>
                <c:pt idx="101">
                  <c:v>0.94658568934397247</c:v>
                </c:pt>
                <c:pt idx="102">
                  <c:v>1.1359028272127669</c:v>
                </c:pt>
                <c:pt idx="103">
                  <c:v>1.2251523350651987</c:v>
                </c:pt>
                <c:pt idx="104">
                  <c:v>0.33568553928483658</c:v>
                </c:pt>
                <c:pt idx="105">
                  <c:v>0.6042339707127059</c:v>
                </c:pt>
                <c:pt idx="106">
                  <c:v>0.93991950999754248</c:v>
                </c:pt>
                <c:pt idx="107">
                  <c:v>1.127903411997051</c:v>
                </c:pt>
                <c:pt idx="108">
                  <c:v>1.2084679414254118</c:v>
                </c:pt>
                <c:pt idx="109">
                  <c:v>1.3427421571393463</c:v>
                </c:pt>
                <c:pt idx="110">
                  <c:v>1.4635889512818876</c:v>
                </c:pt>
                <c:pt idx="111">
                  <c:v>0.82511046512936892</c:v>
                </c:pt>
                <c:pt idx="112">
                  <c:v>1.1001472868391586</c:v>
                </c:pt>
                <c:pt idx="113">
                  <c:v>1.6420515197129024</c:v>
                </c:pt>
                <c:pt idx="114">
                  <c:v>1.9797204889407631</c:v>
                </c:pt>
                <c:pt idx="115">
                  <c:v>0.55824305396541463</c:v>
                </c:pt>
                <c:pt idx="116">
                  <c:v>0.81966419143214542</c:v>
                </c:pt>
                <c:pt idx="117">
                  <c:v>0.99394494974329928</c:v>
                </c:pt>
                <c:pt idx="118">
                  <c:v>1.1736719817516768</c:v>
                </c:pt>
                <c:pt idx="119">
                  <c:v>1.4350931192184073</c:v>
                </c:pt>
                <c:pt idx="120">
                  <c:v>1.7128530777768087</c:v>
                </c:pt>
                <c:pt idx="121">
                  <c:v>1.8789644255421272</c:v>
                </c:pt>
                <c:pt idx="122">
                  <c:v>2.0723071417935635</c:v>
                </c:pt>
                <c:pt idx="123">
                  <c:v>0.70102384736315582</c:v>
                </c:pt>
                <c:pt idx="124">
                  <c:v>0.66723956556252184</c:v>
                </c:pt>
                <c:pt idx="125">
                  <c:v>1.5625230332793234</c:v>
                </c:pt>
                <c:pt idx="126">
                  <c:v>1.8299819308676759</c:v>
                </c:pt>
                <c:pt idx="127">
                  <c:v>2.1115176125396262</c:v>
                </c:pt>
                <c:pt idx="128">
                  <c:v>2.1875322465910529</c:v>
                </c:pt>
                <c:pt idx="129">
                  <c:v>0.68537022364093891</c:v>
                </c:pt>
                <c:pt idx="130">
                  <c:v>0.97094115015799687</c:v>
                </c:pt>
                <c:pt idx="131">
                  <c:v>1.2993477156526132</c:v>
                </c:pt>
                <c:pt idx="132">
                  <c:v>1.5706400958438183</c:v>
                </c:pt>
                <c:pt idx="133">
                  <c:v>1.8590667316260467</c:v>
                </c:pt>
                <c:pt idx="134">
                  <c:v>1.8562110223608761</c:v>
                </c:pt>
                <c:pt idx="135">
                  <c:v>2.1332148210824222</c:v>
                </c:pt>
                <c:pt idx="136">
                  <c:v>2.1389262396127635</c:v>
                </c:pt>
                <c:pt idx="137">
                  <c:v>2.1417819488779339</c:v>
                </c:pt>
                <c:pt idx="138">
                  <c:v>2.1674833322644695</c:v>
                </c:pt>
                <c:pt idx="139">
                  <c:v>0.63064839230833269</c:v>
                </c:pt>
                <c:pt idx="140">
                  <c:v>0.90839509358402326</c:v>
                </c:pt>
                <c:pt idx="141">
                  <c:v>1.199212227860923</c:v>
                </c:pt>
                <c:pt idx="142">
                  <c:v>1.405071547629964</c:v>
                </c:pt>
                <c:pt idx="143">
                  <c:v>1.7285647644098858</c:v>
                </c:pt>
                <c:pt idx="144">
                  <c:v>2.0520579811898081</c:v>
                </c:pt>
                <c:pt idx="145">
                  <c:v>2.3232694659648936</c:v>
                </c:pt>
                <c:pt idx="146">
                  <c:v>2.3886216309709387</c:v>
                </c:pt>
                <c:pt idx="147">
                  <c:v>2.499720311481215</c:v>
                </c:pt>
                <c:pt idx="148">
                  <c:v>2.7121148477508608</c:v>
                </c:pt>
                <c:pt idx="149">
                  <c:v>0.65352165006044838</c:v>
                </c:pt>
                <c:pt idx="150">
                  <c:v>0.98028247509067257</c:v>
                </c:pt>
                <c:pt idx="151">
                  <c:v>1.2188178773627361</c:v>
                </c:pt>
                <c:pt idx="152">
                  <c:v>1.4018039393796617</c:v>
                </c:pt>
                <c:pt idx="153">
                  <c:v>1.7318323726601883</c:v>
                </c:pt>
                <c:pt idx="154">
                  <c:v>2.0585931976904126</c:v>
                </c:pt>
                <c:pt idx="155">
                  <c:v>2.2546496927085471</c:v>
                </c:pt>
                <c:pt idx="156">
                  <c:v>0.49710118012559978</c:v>
                </c:pt>
                <c:pt idx="157">
                  <c:v>0.82582937988607685</c:v>
                </c:pt>
                <c:pt idx="158">
                  <c:v>1.4084533436891993</c:v>
                </c:pt>
                <c:pt idx="159">
                  <c:v>1.4725954314473413</c:v>
                </c:pt>
                <c:pt idx="160">
                  <c:v>1.777270348298515</c:v>
                </c:pt>
                <c:pt idx="161">
                  <c:v>1.9402981546837923</c:v>
                </c:pt>
                <c:pt idx="162">
                  <c:v>2.0445290472907729</c:v>
                </c:pt>
                <c:pt idx="163">
                  <c:v>0.67349192146048997</c:v>
                </c:pt>
                <c:pt idx="164">
                  <c:v>0.94075062045274793</c:v>
                </c:pt>
                <c:pt idx="165">
                  <c:v>1.2106819064349283</c:v>
                </c:pt>
                <c:pt idx="166">
                  <c:v>1.4779406054271862</c:v>
                </c:pt>
                <c:pt idx="167">
                  <c:v>1.7478718914093669</c:v>
                </c:pt>
                <c:pt idx="168">
                  <c:v>2.0044402424419343</c:v>
                </c:pt>
                <c:pt idx="169">
                  <c:v>2.1541051138775988</c:v>
                </c:pt>
                <c:pt idx="170">
                  <c:v>1.1918558122319503</c:v>
                </c:pt>
                <c:pt idx="171">
                  <c:v>1.4309984023885229</c:v>
                </c:pt>
                <c:pt idx="172">
                  <c:v>1.6547124383414455</c:v>
                </c:pt>
                <c:pt idx="173">
                  <c:v>1.8359979502343315</c:v>
                </c:pt>
                <c:pt idx="174">
                  <c:v>1.9092835827016681</c:v>
                </c:pt>
                <c:pt idx="175">
                  <c:v>0.40297934708879196</c:v>
                </c:pt>
                <c:pt idx="176">
                  <c:v>0.60547145681997594</c:v>
                </c:pt>
                <c:pt idx="177">
                  <c:v>0.69368584125732347</c:v>
                </c:pt>
                <c:pt idx="178">
                  <c:v>0.74581252297030165</c:v>
                </c:pt>
                <c:pt idx="179">
                  <c:v>0.8620951206377141</c:v>
                </c:pt>
                <c:pt idx="180">
                  <c:v>1.0625823579953222</c:v>
                </c:pt>
                <c:pt idx="181">
                  <c:v>1.2630695953529301</c:v>
                </c:pt>
                <c:pt idx="182">
                  <c:v>1.4856104288198748</c:v>
                </c:pt>
                <c:pt idx="183">
                  <c:v>1.5016494078084834</c:v>
                </c:pt>
                <c:pt idx="184">
                  <c:v>0.45310115642819399</c:v>
                </c:pt>
                <c:pt idx="185">
                  <c:v>0.68967609651017125</c:v>
                </c:pt>
                <c:pt idx="186">
                  <c:v>1.0906505712253871</c:v>
                </c:pt>
                <c:pt idx="187">
                  <c:v>1.4916250459406033</c:v>
                </c:pt>
                <c:pt idx="188">
                  <c:v>1.9126482443915798</c:v>
                </c:pt>
                <c:pt idx="189">
                  <c:v>1.976804160346014</c:v>
                </c:pt>
                <c:pt idx="190">
                  <c:v>2.1251647159906444</c:v>
                </c:pt>
                <c:pt idx="191">
                  <c:v>2.4058468482912949</c:v>
                </c:pt>
                <c:pt idx="192">
                  <c:v>2.6464315331204249</c:v>
                </c:pt>
                <c:pt idx="193">
                  <c:v>0.44453262277879912</c:v>
                </c:pt>
                <c:pt idx="194">
                  <c:v>0.52642021118542004</c:v>
                </c:pt>
                <c:pt idx="195">
                  <c:v>0.70189361491389335</c:v>
                </c:pt>
                <c:pt idx="196">
                  <c:v>0.80249836638488492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72480"/>
        <c:axId val="158744576"/>
      </c:scatterChart>
      <c:valAx>
        <c:axId val="155572480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58744576"/>
        <c:crosses val="autoZero"/>
        <c:crossBetween val="midCat"/>
      </c:valAx>
      <c:valAx>
        <c:axId val="15874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55724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Toronto!$W$2:$W$327</c:f>
              <c:numCache>
                <c:formatCode>General</c:formatCode>
                <c:ptCount val="326"/>
                <c:pt idx="0">
                  <c:v>0.41695115845054398</c:v>
                </c:pt>
                <c:pt idx="1">
                  <c:v>0.57065080117348954</c:v>
                </c:pt>
                <c:pt idx="2">
                  <c:v>0.69205716789879501</c:v>
                </c:pt>
                <c:pt idx="3">
                  <c:v>0.81550741285179928</c:v>
                </c:pt>
                <c:pt idx="4">
                  <c:v>0.89767131760528873</c:v>
                </c:pt>
                <c:pt idx="5">
                  <c:v>0.93548127977122841</c:v>
                </c:pt>
                <c:pt idx="6">
                  <c:v>1</c:v>
                </c:pt>
                <c:pt idx="7">
                  <c:v>0.24716157205240177</c:v>
                </c:pt>
                <c:pt idx="8">
                  <c:v>0.44541484716157204</c:v>
                </c:pt>
                <c:pt idx="9">
                  <c:v>0.66375545851528384</c:v>
                </c:pt>
                <c:pt idx="10">
                  <c:v>0.78165938864628814</c:v>
                </c:pt>
                <c:pt idx="11">
                  <c:v>0.86899563318777284</c:v>
                </c:pt>
                <c:pt idx="12">
                  <c:v>0.95633187772925765</c:v>
                </c:pt>
                <c:pt idx="13">
                  <c:v>1</c:v>
                </c:pt>
                <c:pt idx="14">
                  <c:v>0.4464285714285714</c:v>
                </c:pt>
                <c:pt idx="15">
                  <c:v>0.6696428571428571</c:v>
                </c:pt>
                <c:pt idx="16">
                  <c:v>0.8080357142857143</c:v>
                </c:pt>
                <c:pt idx="17">
                  <c:v>0.89285714285714279</c:v>
                </c:pt>
                <c:pt idx="18">
                  <c:v>0.9821428571428571</c:v>
                </c:pt>
                <c:pt idx="19">
                  <c:v>1</c:v>
                </c:pt>
                <c:pt idx="20">
                  <c:v>0.26857749469214437</c:v>
                </c:pt>
                <c:pt idx="21">
                  <c:v>0.42569002123142252</c:v>
                </c:pt>
                <c:pt idx="22">
                  <c:v>0.63694267515923575</c:v>
                </c:pt>
                <c:pt idx="23">
                  <c:v>0.76645435244161364</c:v>
                </c:pt>
                <c:pt idx="24">
                  <c:v>0.85031847133757965</c:v>
                </c:pt>
                <c:pt idx="25">
                  <c:v>0.93630573248407645</c:v>
                </c:pt>
                <c:pt idx="26">
                  <c:v>1</c:v>
                </c:pt>
                <c:pt idx="27">
                  <c:v>0.28749999999999998</c:v>
                </c:pt>
                <c:pt idx="28">
                  <c:v>0.45909090909090905</c:v>
                </c:pt>
                <c:pt idx="29">
                  <c:v>0.68181818181818177</c:v>
                </c:pt>
                <c:pt idx="30">
                  <c:v>0.82045454545454533</c:v>
                </c:pt>
                <c:pt idx="31">
                  <c:v>0.91136363636363626</c:v>
                </c:pt>
                <c:pt idx="32">
                  <c:v>1</c:v>
                </c:pt>
                <c:pt idx="33">
                  <c:v>0.29407176287051484</c:v>
                </c:pt>
                <c:pt idx="34">
                  <c:v>0.46528861154446177</c:v>
                </c:pt>
                <c:pt idx="35">
                  <c:v>0.69929797191887677</c:v>
                </c:pt>
                <c:pt idx="36">
                  <c:v>0.7000780031201248</c:v>
                </c:pt>
                <c:pt idx="37">
                  <c:v>0.83931357254290173</c:v>
                </c:pt>
                <c:pt idx="38">
                  <c:v>0.93369734789391579</c:v>
                </c:pt>
                <c:pt idx="39">
                  <c:v>1</c:v>
                </c:pt>
                <c:pt idx="40">
                  <c:v>0.20589473684210527</c:v>
                </c:pt>
                <c:pt idx="41">
                  <c:v>0.42105263157894735</c:v>
                </c:pt>
                <c:pt idx="42">
                  <c:v>0.57894736842105265</c:v>
                </c:pt>
                <c:pt idx="43">
                  <c:v>0.73473684210526313</c:v>
                </c:pt>
                <c:pt idx="44">
                  <c:v>0.84</c:v>
                </c:pt>
                <c:pt idx="45">
                  <c:v>0.94526315789473681</c:v>
                </c:pt>
                <c:pt idx="46">
                  <c:v>1</c:v>
                </c:pt>
                <c:pt idx="47">
                  <c:v>0.39525691699604742</c:v>
                </c:pt>
                <c:pt idx="48">
                  <c:v>0.69367588932806323</c:v>
                </c:pt>
                <c:pt idx="49">
                  <c:v>0.78853754940711462</c:v>
                </c:pt>
                <c:pt idx="50">
                  <c:v>0.88932806324110669</c:v>
                </c:pt>
                <c:pt idx="51">
                  <c:v>0.98814229249011853</c:v>
                </c:pt>
                <c:pt idx="52">
                  <c:v>1</c:v>
                </c:pt>
                <c:pt idx="53">
                  <c:v>0.38684719535783363</c:v>
                </c:pt>
                <c:pt idx="54">
                  <c:v>0.68085106382978722</c:v>
                </c:pt>
                <c:pt idx="55">
                  <c:v>0.77369439071566726</c:v>
                </c:pt>
                <c:pt idx="56">
                  <c:v>0.87040618955512572</c:v>
                </c:pt>
                <c:pt idx="57">
                  <c:v>0.96711798839458418</c:v>
                </c:pt>
                <c:pt idx="58">
                  <c:v>1</c:v>
                </c:pt>
                <c:pt idx="59">
                  <c:v>0.40040241448692154</c:v>
                </c:pt>
                <c:pt idx="60">
                  <c:v>0.70221327967806846</c:v>
                </c:pt>
                <c:pt idx="61">
                  <c:v>0.8048289738430584</c:v>
                </c:pt>
                <c:pt idx="62">
                  <c:v>0.91348088531187122</c:v>
                </c:pt>
                <c:pt idx="63">
                  <c:v>1</c:v>
                </c:pt>
                <c:pt idx="64">
                  <c:v>0.45090180360721444</c:v>
                </c:pt>
                <c:pt idx="65">
                  <c:v>0.70140280561122248</c:v>
                </c:pt>
                <c:pt idx="66">
                  <c:v>0.77755511022044088</c:v>
                </c:pt>
                <c:pt idx="67">
                  <c:v>0.86172344689378755</c:v>
                </c:pt>
                <c:pt idx="68">
                  <c:v>0.95190380761523041</c:v>
                </c:pt>
                <c:pt idx="69">
                  <c:v>1</c:v>
                </c:pt>
                <c:pt idx="70">
                  <c:v>0.3524229074889868</c:v>
                </c:pt>
                <c:pt idx="71">
                  <c:v>0.49559471365638769</c:v>
                </c:pt>
                <c:pt idx="72">
                  <c:v>0.77092511013215859</c:v>
                </c:pt>
                <c:pt idx="73">
                  <c:v>0.92511013215859028</c:v>
                </c:pt>
                <c:pt idx="74">
                  <c:v>0.99118942731277537</c:v>
                </c:pt>
                <c:pt idx="75">
                  <c:v>1</c:v>
                </c:pt>
                <c:pt idx="76">
                  <c:v>0.35961538461538461</c:v>
                </c:pt>
                <c:pt idx="77">
                  <c:v>0.43269230769230771</c:v>
                </c:pt>
                <c:pt idx="78">
                  <c:v>0.67307692307692313</c:v>
                </c:pt>
                <c:pt idx="79">
                  <c:v>0.80769230769230771</c:v>
                </c:pt>
                <c:pt idx="80">
                  <c:v>0.8634615384615385</c:v>
                </c:pt>
                <c:pt idx="81">
                  <c:v>1</c:v>
                </c:pt>
                <c:pt idx="82">
                  <c:v>7.2046109510086456E-2</c:v>
                </c:pt>
                <c:pt idx="83">
                  <c:v>0.32420749279538907</c:v>
                </c:pt>
                <c:pt idx="84">
                  <c:v>0.50432276657060515</c:v>
                </c:pt>
                <c:pt idx="85">
                  <c:v>0.67867435158501443</c:v>
                </c:pt>
                <c:pt idx="86">
                  <c:v>0.86455331412103742</c:v>
                </c:pt>
                <c:pt idx="87">
                  <c:v>1</c:v>
                </c:pt>
                <c:pt idx="88">
                  <c:v>0.20040080160320642</c:v>
                </c:pt>
                <c:pt idx="89">
                  <c:v>0.4468937875751503</c:v>
                </c:pt>
                <c:pt idx="90">
                  <c:v>0.70340681362725455</c:v>
                </c:pt>
                <c:pt idx="91">
                  <c:v>0.84168336673346689</c:v>
                </c:pt>
                <c:pt idx="92">
                  <c:v>1</c:v>
                </c:pt>
                <c:pt idx="93">
                  <c:v>1</c:v>
                </c:pt>
                <c:pt idx="94">
                  <c:v>0.45</c:v>
                </c:pt>
                <c:pt idx="95">
                  <c:v>0.7</c:v>
                </c:pt>
                <c:pt idx="96">
                  <c:v>0.9</c:v>
                </c:pt>
                <c:pt idx="97">
                  <c:v>0.9</c:v>
                </c:pt>
                <c:pt idx="98">
                  <c:v>1</c:v>
                </c:pt>
                <c:pt idx="99">
                  <c:v>1</c:v>
                </c:pt>
                <c:pt idx="100">
                  <c:v>0.49668874172185429</c:v>
                </c:pt>
                <c:pt idx="101">
                  <c:v>0.77262693156732887</c:v>
                </c:pt>
                <c:pt idx="102">
                  <c:v>0.92715231788079466</c:v>
                </c:pt>
                <c:pt idx="103">
                  <c:v>1</c:v>
                </c:pt>
                <c:pt idx="104">
                  <c:v>0.22935779816513763</c:v>
                </c:pt>
                <c:pt idx="105">
                  <c:v>0.41284403669724773</c:v>
                </c:pt>
                <c:pt idx="106">
                  <c:v>0.64220183486238536</c:v>
                </c:pt>
                <c:pt idx="107">
                  <c:v>0.77064220183486243</c:v>
                </c:pt>
                <c:pt idx="108">
                  <c:v>0.82568807339449546</c:v>
                </c:pt>
                <c:pt idx="109">
                  <c:v>0.91743119266055051</c:v>
                </c:pt>
                <c:pt idx="110">
                  <c:v>1</c:v>
                </c:pt>
                <c:pt idx="111">
                  <c:v>0.41678129298486932</c:v>
                </c:pt>
                <c:pt idx="112">
                  <c:v>0.55570839064649247</c:v>
                </c:pt>
                <c:pt idx="113">
                  <c:v>0.82943603851444292</c:v>
                </c:pt>
                <c:pt idx="114">
                  <c:v>1</c:v>
                </c:pt>
                <c:pt idx="115">
                  <c:v>0.26938239159001315</c:v>
                </c:pt>
                <c:pt idx="116">
                  <c:v>0.39553219448094618</c:v>
                </c:pt>
                <c:pt idx="117">
                  <c:v>0.47963206307490153</c:v>
                </c:pt>
                <c:pt idx="118">
                  <c:v>0.56636005256241795</c:v>
                </c:pt>
                <c:pt idx="119">
                  <c:v>0.69250985545335098</c:v>
                </c:pt>
                <c:pt idx="120">
                  <c:v>0.82654402102496727</c:v>
                </c:pt>
                <c:pt idx="121">
                  <c:v>0.90670170827858088</c:v>
                </c:pt>
                <c:pt idx="122">
                  <c:v>1</c:v>
                </c:pt>
                <c:pt idx="123">
                  <c:v>0.32046332046332049</c:v>
                </c:pt>
                <c:pt idx="124">
                  <c:v>0.30501930501930502</c:v>
                </c:pt>
                <c:pt idx="125">
                  <c:v>0.7142857142857143</c:v>
                </c:pt>
                <c:pt idx="126">
                  <c:v>0.83655083655083651</c:v>
                </c:pt>
                <c:pt idx="127">
                  <c:v>0.96525096525096521</c:v>
                </c:pt>
                <c:pt idx="128">
                  <c:v>1</c:v>
                </c:pt>
                <c:pt idx="129">
                  <c:v>0.3162055335968379</c:v>
                </c:pt>
                <c:pt idx="130">
                  <c:v>0.44795783926218702</c:v>
                </c:pt>
                <c:pt idx="131">
                  <c:v>0.59947299077733851</c:v>
                </c:pt>
                <c:pt idx="132">
                  <c:v>0.72463768115942018</c:v>
                </c:pt>
                <c:pt idx="133">
                  <c:v>0.85770750988142275</c:v>
                </c:pt>
                <c:pt idx="134">
                  <c:v>0.8563899868247693</c:v>
                </c:pt>
                <c:pt idx="135">
                  <c:v>0.98418972332015797</c:v>
                </c:pt>
                <c:pt idx="136">
                  <c:v>0.98682476943346509</c:v>
                </c:pt>
                <c:pt idx="137">
                  <c:v>0.98814229249011842</c:v>
                </c:pt>
                <c:pt idx="138">
                  <c:v>1</c:v>
                </c:pt>
                <c:pt idx="139">
                  <c:v>0.2325301204819277</c:v>
                </c:pt>
                <c:pt idx="140">
                  <c:v>0.33493975903614459</c:v>
                </c:pt>
                <c:pt idx="141">
                  <c:v>0.44216867469879523</c:v>
                </c:pt>
                <c:pt idx="142">
                  <c:v>0.51807228915662651</c:v>
                </c:pt>
                <c:pt idx="143">
                  <c:v>0.63734939759036147</c:v>
                </c:pt>
                <c:pt idx="144">
                  <c:v>0.75662650602409642</c:v>
                </c:pt>
                <c:pt idx="145">
                  <c:v>0.85662650602409629</c:v>
                </c:pt>
                <c:pt idx="146">
                  <c:v>0.88072289156626493</c:v>
                </c:pt>
                <c:pt idx="147">
                  <c:v>0.92168674698795183</c:v>
                </c:pt>
                <c:pt idx="148">
                  <c:v>1</c:v>
                </c:pt>
                <c:pt idx="149">
                  <c:v>0.28985507246376813</c:v>
                </c:pt>
                <c:pt idx="150">
                  <c:v>0.43478260869565216</c:v>
                </c:pt>
                <c:pt idx="151">
                  <c:v>0.54057971014492745</c:v>
                </c:pt>
                <c:pt idx="152">
                  <c:v>0.62173913043478257</c:v>
                </c:pt>
                <c:pt idx="153">
                  <c:v>0.76811594202898548</c:v>
                </c:pt>
                <c:pt idx="154">
                  <c:v>0.91304347826086951</c:v>
                </c:pt>
                <c:pt idx="155">
                  <c:v>1</c:v>
                </c:pt>
                <c:pt idx="156">
                  <c:v>0.24313725490196081</c:v>
                </c:pt>
                <c:pt idx="157">
                  <c:v>0.40392156862745099</c:v>
                </c:pt>
                <c:pt idx="158">
                  <c:v>0.68888888888888888</c:v>
                </c:pt>
                <c:pt idx="159">
                  <c:v>0.72026143790849673</c:v>
                </c:pt>
                <c:pt idx="160">
                  <c:v>0.86928104575163401</c:v>
                </c:pt>
                <c:pt idx="161">
                  <c:v>0.9490196078431371</c:v>
                </c:pt>
                <c:pt idx="162">
                  <c:v>1</c:v>
                </c:pt>
                <c:pt idx="163">
                  <c:v>0.31265508684863524</c:v>
                </c:pt>
                <c:pt idx="164">
                  <c:v>0.43672456575682395</c:v>
                </c:pt>
                <c:pt idx="165">
                  <c:v>0.56203473945409432</c:v>
                </c:pt>
                <c:pt idx="166">
                  <c:v>0.68610421836228297</c:v>
                </c:pt>
                <c:pt idx="167">
                  <c:v>0.81141439205955357</c:v>
                </c:pt>
                <c:pt idx="168">
                  <c:v>0.93052109181141451</c:v>
                </c:pt>
                <c:pt idx="169">
                  <c:v>1</c:v>
                </c:pt>
                <c:pt idx="170">
                  <c:v>0.62424242424242427</c:v>
                </c:pt>
                <c:pt idx="171">
                  <c:v>0.74949494949494955</c:v>
                </c:pt>
                <c:pt idx="172">
                  <c:v>0.8666666666666667</c:v>
                </c:pt>
                <c:pt idx="173">
                  <c:v>0.96161616161616159</c:v>
                </c:pt>
                <c:pt idx="174">
                  <c:v>1</c:v>
                </c:pt>
                <c:pt idx="175">
                  <c:v>0.26835781041388518</c:v>
                </c:pt>
                <c:pt idx="176">
                  <c:v>0.40320427236315082</c:v>
                </c:pt>
                <c:pt idx="177">
                  <c:v>0.46194926568758338</c:v>
                </c:pt>
                <c:pt idx="178">
                  <c:v>0.49666221628838453</c:v>
                </c:pt>
                <c:pt idx="179">
                  <c:v>0.57409879839786371</c:v>
                </c:pt>
                <c:pt idx="180">
                  <c:v>0.70761014686248325</c:v>
                </c:pt>
                <c:pt idx="181">
                  <c:v>0.84112149532710268</c:v>
                </c:pt>
                <c:pt idx="182">
                  <c:v>0.9893190921228302</c:v>
                </c:pt>
                <c:pt idx="183">
                  <c:v>1</c:v>
                </c:pt>
                <c:pt idx="184">
                  <c:v>0.1712121212121212</c:v>
                </c:pt>
                <c:pt idx="185">
                  <c:v>0.26060606060606062</c:v>
                </c:pt>
                <c:pt idx="186">
                  <c:v>0.41212121212121211</c:v>
                </c:pt>
                <c:pt idx="187">
                  <c:v>0.56363636363636371</c:v>
                </c:pt>
                <c:pt idx="188">
                  <c:v>0.72272727272727277</c:v>
                </c:pt>
                <c:pt idx="189">
                  <c:v>0.74696969696969695</c:v>
                </c:pt>
                <c:pt idx="190">
                  <c:v>0.80303030303030298</c:v>
                </c:pt>
                <c:pt idx="191">
                  <c:v>0.90909090909090906</c:v>
                </c:pt>
                <c:pt idx="192">
                  <c:v>1</c:v>
                </c:pt>
                <c:pt idx="193">
                  <c:v>0.55393586005830908</c:v>
                </c:pt>
                <c:pt idx="194">
                  <c:v>0.6559766763848397</c:v>
                </c:pt>
                <c:pt idx="195">
                  <c:v>0.87463556851311952</c:v>
                </c:pt>
                <c:pt idx="19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56224"/>
        <c:axId val="158786688"/>
      </c:scatterChart>
      <c:valAx>
        <c:axId val="158756224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58786688"/>
        <c:crosses val="autoZero"/>
        <c:crossBetween val="midCat"/>
      </c:valAx>
      <c:valAx>
        <c:axId val="158786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756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Toronto!$D$2:$D$327</c:f>
              <c:numCache>
                <c:formatCode>General</c:formatCode>
                <c:ptCount val="326"/>
                <c:pt idx="0">
                  <c:v>2.95</c:v>
                </c:pt>
                <c:pt idx="1">
                  <c:v>2.95</c:v>
                </c:pt>
                <c:pt idx="2">
                  <c:v>2.95</c:v>
                </c:pt>
                <c:pt idx="3">
                  <c:v>2.95</c:v>
                </c:pt>
                <c:pt idx="4">
                  <c:v>2.95</c:v>
                </c:pt>
                <c:pt idx="5">
                  <c:v>2.95</c:v>
                </c:pt>
                <c:pt idx="6">
                  <c:v>2.95</c:v>
                </c:pt>
                <c:pt idx="7">
                  <c:v>2.95</c:v>
                </c:pt>
                <c:pt idx="8">
                  <c:v>2.95</c:v>
                </c:pt>
                <c:pt idx="9">
                  <c:v>2.95</c:v>
                </c:pt>
                <c:pt idx="10">
                  <c:v>2.95</c:v>
                </c:pt>
                <c:pt idx="11">
                  <c:v>2.95</c:v>
                </c:pt>
                <c:pt idx="12">
                  <c:v>2.95</c:v>
                </c:pt>
                <c:pt idx="13">
                  <c:v>2.95</c:v>
                </c:pt>
                <c:pt idx="14">
                  <c:v>2.9500000000000006</c:v>
                </c:pt>
                <c:pt idx="15">
                  <c:v>2.9500000000000006</c:v>
                </c:pt>
                <c:pt idx="16">
                  <c:v>2.9500000000000006</c:v>
                </c:pt>
                <c:pt idx="17">
                  <c:v>2.9500000000000006</c:v>
                </c:pt>
                <c:pt idx="18">
                  <c:v>2.9500000000000006</c:v>
                </c:pt>
                <c:pt idx="19">
                  <c:v>2.9500000000000006</c:v>
                </c:pt>
                <c:pt idx="20">
                  <c:v>2.9500000000000006</c:v>
                </c:pt>
                <c:pt idx="21">
                  <c:v>2.9500000000000006</c:v>
                </c:pt>
                <c:pt idx="22">
                  <c:v>2.9500000000000006</c:v>
                </c:pt>
                <c:pt idx="23">
                  <c:v>2.9500000000000006</c:v>
                </c:pt>
                <c:pt idx="24">
                  <c:v>2.9500000000000006</c:v>
                </c:pt>
                <c:pt idx="25">
                  <c:v>2.9500000000000006</c:v>
                </c:pt>
                <c:pt idx="26">
                  <c:v>2.9500000000000006</c:v>
                </c:pt>
                <c:pt idx="27">
                  <c:v>2.95</c:v>
                </c:pt>
                <c:pt idx="28">
                  <c:v>2.95</c:v>
                </c:pt>
                <c:pt idx="29">
                  <c:v>2.95</c:v>
                </c:pt>
                <c:pt idx="30">
                  <c:v>2.95</c:v>
                </c:pt>
                <c:pt idx="31">
                  <c:v>2.95</c:v>
                </c:pt>
                <c:pt idx="32">
                  <c:v>2.95</c:v>
                </c:pt>
                <c:pt idx="33">
                  <c:v>2.95</c:v>
                </c:pt>
                <c:pt idx="34">
                  <c:v>2.95</c:v>
                </c:pt>
                <c:pt idx="35">
                  <c:v>2.95</c:v>
                </c:pt>
                <c:pt idx="36">
                  <c:v>2.95</c:v>
                </c:pt>
                <c:pt idx="37">
                  <c:v>2.95</c:v>
                </c:pt>
                <c:pt idx="38">
                  <c:v>2.95</c:v>
                </c:pt>
                <c:pt idx="39">
                  <c:v>2.95</c:v>
                </c:pt>
                <c:pt idx="40">
                  <c:v>3.3876221498371337</c:v>
                </c:pt>
                <c:pt idx="41">
                  <c:v>3.3876221498371337</c:v>
                </c:pt>
                <c:pt idx="42">
                  <c:v>3.3876221498371337</c:v>
                </c:pt>
                <c:pt idx="43">
                  <c:v>3.3876221498371337</c:v>
                </c:pt>
                <c:pt idx="44">
                  <c:v>3.3876221498371337</c:v>
                </c:pt>
                <c:pt idx="45">
                  <c:v>3.3876221498371337</c:v>
                </c:pt>
                <c:pt idx="46">
                  <c:v>3.3876221498371337</c:v>
                </c:pt>
                <c:pt idx="47">
                  <c:v>3.3986928104575163</c:v>
                </c:pt>
                <c:pt idx="48">
                  <c:v>3.3986928104575163</c:v>
                </c:pt>
                <c:pt idx="49">
                  <c:v>3.3986928104575163</c:v>
                </c:pt>
                <c:pt idx="50">
                  <c:v>3.3986928104575163</c:v>
                </c:pt>
                <c:pt idx="51">
                  <c:v>3.3986928104575163</c:v>
                </c:pt>
                <c:pt idx="52">
                  <c:v>3.3986928104575163</c:v>
                </c:pt>
                <c:pt idx="53">
                  <c:v>3.3986928104575163</c:v>
                </c:pt>
                <c:pt idx="54">
                  <c:v>3.3986928104575163</c:v>
                </c:pt>
                <c:pt idx="55">
                  <c:v>3.3986928104575163</c:v>
                </c:pt>
                <c:pt idx="56">
                  <c:v>3.3986928104575163</c:v>
                </c:pt>
                <c:pt idx="57">
                  <c:v>3.3986928104575163</c:v>
                </c:pt>
                <c:pt idx="58">
                  <c:v>3.3986928104575163</c:v>
                </c:pt>
                <c:pt idx="59">
                  <c:v>3.3876221498371337</c:v>
                </c:pt>
                <c:pt idx="60">
                  <c:v>3.3876221498371337</c:v>
                </c:pt>
                <c:pt idx="61">
                  <c:v>3.3876221498371337</c:v>
                </c:pt>
                <c:pt idx="62">
                  <c:v>3.3876221498371337</c:v>
                </c:pt>
                <c:pt idx="63">
                  <c:v>3.3876221498371337</c:v>
                </c:pt>
                <c:pt idx="64">
                  <c:v>2.8928571428571428</c:v>
                </c:pt>
                <c:pt idx="65">
                  <c:v>2.8928571428571428</c:v>
                </c:pt>
                <c:pt idx="66">
                  <c:v>2.8928571428571428</c:v>
                </c:pt>
                <c:pt idx="67">
                  <c:v>2.8928571428571428</c:v>
                </c:pt>
                <c:pt idx="68">
                  <c:v>2.8928571428571428</c:v>
                </c:pt>
                <c:pt idx="69">
                  <c:v>2.8928571428571428</c:v>
                </c:pt>
                <c:pt idx="70">
                  <c:v>2.8928571428571428</c:v>
                </c:pt>
                <c:pt idx="71">
                  <c:v>2.8928571428571428</c:v>
                </c:pt>
                <c:pt idx="72">
                  <c:v>2.8928571428571428</c:v>
                </c:pt>
                <c:pt idx="73">
                  <c:v>2.8928571428571428</c:v>
                </c:pt>
                <c:pt idx="74">
                  <c:v>2.8928571428571428</c:v>
                </c:pt>
                <c:pt idx="75">
                  <c:v>2.8928571428571428</c:v>
                </c:pt>
                <c:pt idx="76">
                  <c:v>2.8928571428571428</c:v>
                </c:pt>
                <c:pt idx="77">
                  <c:v>2.8928571428571428</c:v>
                </c:pt>
                <c:pt idx="78">
                  <c:v>2.8928571428571428</c:v>
                </c:pt>
                <c:pt idx="79">
                  <c:v>2.8928571428571428</c:v>
                </c:pt>
                <c:pt idx="80">
                  <c:v>2.8928571428571428</c:v>
                </c:pt>
                <c:pt idx="81">
                  <c:v>2.8928571428571428</c:v>
                </c:pt>
                <c:pt idx="82">
                  <c:v>2.8928571428571428</c:v>
                </c:pt>
                <c:pt idx="83">
                  <c:v>2.8928571428571428</c:v>
                </c:pt>
                <c:pt idx="84">
                  <c:v>2.8928571428571428</c:v>
                </c:pt>
                <c:pt idx="85">
                  <c:v>2.8928571428571428</c:v>
                </c:pt>
                <c:pt idx="86">
                  <c:v>2.8928571428571428</c:v>
                </c:pt>
                <c:pt idx="87">
                  <c:v>2.8928571428571428</c:v>
                </c:pt>
                <c:pt idx="88">
                  <c:v>2.8928571428571428</c:v>
                </c:pt>
                <c:pt idx="89">
                  <c:v>2.8928571428571428</c:v>
                </c:pt>
                <c:pt idx="90">
                  <c:v>2.8928571428571428</c:v>
                </c:pt>
                <c:pt idx="91">
                  <c:v>2.8928571428571428</c:v>
                </c:pt>
                <c:pt idx="92">
                  <c:v>2.8928571428571428</c:v>
                </c:pt>
                <c:pt idx="93">
                  <c:v>2.8928571428571428</c:v>
                </c:pt>
                <c:pt idx="94">
                  <c:v>2.8928571428571428</c:v>
                </c:pt>
                <c:pt idx="95">
                  <c:v>2.8928571428571428</c:v>
                </c:pt>
                <c:pt idx="96">
                  <c:v>2.8928571428571428</c:v>
                </c:pt>
                <c:pt idx="97">
                  <c:v>2.8928571428571428</c:v>
                </c:pt>
                <c:pt idx="98">
                  <c:v>2.8928571428571428</c:v>
                </c:pt>
                <c:pt idx="99">
                  <c:v>2.8928571428571428</c:v>
                </c:pt>
                <c:pt idx="100">
                  <c:v>2.8928571428571428</c:v>
                </c:pt>
                <c:pt idx="101">
                  <c:v>2.8928571428571428</c:v>
                </c:pt>
                <c:pt idx="102">
                  <c:v>2.8928571428571428</c:v>
                </c:pt>
                <c:pt idx="103">
                  <c:v>2.8928571428571428</c:v>
                </c:pt>
                <c:pt idx="104">
                  <c:v>2.8928571428571428</c:v>
                </c:pt>
                <c:pt idx="105">
                  <c:v>2.8928571428571428</c:v>
                </c:pt>
                <c:pt idx="106">
                  <c:v>2.8928571428571428</c:v>
                </c:pt>
                <c:pt idx="107">
                  <c:v>2.8928571428571428</c:v>
                </c:pt>
                <c:pt idx="108">
                  <c:v>2.8928571428571428</c:v>
                </c:pt>
                <c:pt idx="109">
                  <c:v>2.8928571428571428</c:v>
                </c:pt>
                <c:pt idx="110">
                  <c:v>2.8928571428571428</c:v>
                </c:pt>
                <c:pt idx="111">
                  <c:v>2.8928571428571428</c:v>
                </c:pt>
                <c:pt idx="112">
                  <c:v>2.8928571428571428</c:v>
                </c:pt>
                <c:pt idx="113">
                  <c:v>2.8928571428571428</c:v>
                </c:pt>
                <c:pt idx="114">
                  <c:v>2.8928571428571428</c:v>
                </c:pt>
                <c:pt idx="115">
                  <c:v>2.8928571428571428</c:v>
                </c:pt>
                <c:pt idx="116">
                  <c:v>2.8928571428571428</c:v>
                </c:pt>
                <c:pt idx="117">
                  <c:v>2.8928571428571428</c:v>
                </c:pt>
                <c:pt idx="118">
                  <c:v>2.8928571428571428</c:v>
                </c:pt>
                <c:pt idx="119">
                  <c:v>2.8928571428571428</c:v>
                </c:pt>
                <c:pt idx="120">
                  <c:v>2.8928571428571428</c:v>
                </c:pt>
                <c:pt idx="121">
                  <c:v>2.8928571428571428</c:v>
                </c:pt>
                <c:pt idx="122">
                  <c:v>2.8928571428571428</c:v>
                </c:pt>
                <c:pt idx="123">
                  <c:v>2.8928571428571428</c:v>
                </c:pt>
                <c:pt idx="124">
                  <c:v>2.8928571428571428</c:v>
                </c:pt>
                <c:pt idx="125">
                  <c:v>2.8928571428571428</c:v>
                </c:pt>
                <c:pt idx="126">
                  <c:v>2.8928571428571428</c:v>
                </c:pt>
                <c:pt idx="127">
                  <c:v>2.8928571428571428</c:v>
                </c:pt>
                <c:pt idx="128">
                  <c:v>2.8928571428571428</c:v>
                </c:pt>
                <c:pt idx="129">
                  <c:v>2.8928571428571428</c:v>
                </c:pt>
                <c:pt idx="130">
                  <c:v>2.8928571428571428</c:v>
                </c:pt>
                <c:pt idx="131">
                  <c:v>2.8928571428571428</c:v>
                </c:pt>
                <c:pt idx="132">
                  <c:v>2.8928571428571428</c:v>
                </c:pt>
                <c:pt idx="133">
                  <c:v>2.8928571428571428</c:v>
                </c:pt>
                <c:pt idx="134">
                  <c:v>2.8928571428571428</c:v>
                </c:pt>
                <c:pt idx="135">
                  <c:v>2.8928571428571428</c:v>
                </c:pt>
                <c:pt idx="136">
                  <c:v>2.8928571428571428</c:v>
                </c:pt>
                <c:pt idx="137">
                  <c:v>2.8928571428571428</c:v>
                </c:pt>
                <c:pt idx="138">
                  <c:v>2.8928571428571428</c:v>
                </c:pt>
                <c:pt idx="139">
                  <c:v>2.8928571428571428</c:v>
                </c:pt>
                <c:pt idx="140">
                  <c:v>2.8928571428571428</c:v>
                </c:pt>
                <c:pt idx="141">
                  <c:v>2.8928571428571428</c:v>
                </c:pt>
                <c:pt idx="142">
                  <c:v>2.8928571428571428</c:v>
                </c:pt>
                <c:pt idx="143">
                  <c:v>2.8928571428571428</c:v>
                </c:pt>
                <c:pt idx="144">
                  <c:v>2.8928571428571428</c:v>
                </c:pt>
                <c:pt idx="145">
                  <c:v>2.8928571428571428</c:v>
                </c:pt>
                <c:pt idx="146">
                  <c:v>2.8928571428571428</c:v>
                </c:pt>
                <c:pt idx="147">
                  <c:v>2.8928571428571428</c:v>
                </c:pt>
                <c:pt idx="148">
                  <c:v>2.8928571428571428</c:v>
                </c:pt>
                <c:pt idx="149">
                  <c:v>2.8928571428571428</c:v>
                </c:pt>
                <c:pt idx="150">
                  <c:v>2.8928571428571428</c:v>
                </c:pt>
                <c:pt idx="151">
                  <c:v>2.8928571428571428</c:v>
                </c:pt>
                <c:pt idx="152">
                  <c:v>2.8928571428571428</c:v>
                </c:pt>
                <c:pt idx="153">
                  <c:v>2.8928571428571428</c:v>
                </c:pt>
                <c:pt idx="154">
                  <c:v>2.8928571428571428</c:v>
                </c:pt>
                <c:pt idx="155">
                  <c:v>2.8928571428571428</c:v>
                </c:pt>
                <c:pt idx="156">
                  <c:v>2.8928571428571428</c:v>
                </c:pt>
                <c:pt idx="157">
                  <c:v>2.8928571428571428</c:v>
                </c:pt>
                <c:pt idx="158">
                  <c:v>2.8928571428571428</c:v>
                </c:pt>
                <c:pt idx="159">
                  <c:v>2.8928571428571428</c:v>
                </c:pt>
                <c:pt idx="160">
                  <c:v>2.8928571428571428</c:v>
                </c:pt>
                <c:pt idx="161">
                  <c:v>2.8928571428571428</c:v>
                </c:pt>
                <c:pt idx="162">
                  <c:v>2.8928571428571428</c:v>
                </c:pt>
                <c:pt idx="163">
                  <c:v>2.8928571428571428</c:v>
                </c:pt>
                <c:pt idx="164">
                  <c:v>2.8928571428571428</c:v>
                </c:pt>
                <c:pt idx="165">
                  <c:v>2.8928571428571428</c:v>
                </c:pt>
                <c:pt idx="166">
                  <c:v>2.8928571428571428</c:v>
                </c:pt>
                <c:pt idx="167">
                  <c:v>2.8928571428571428</c:v>
                </c:pt>
                <c:pt idx="168">
                  <c:v>2.8928571428571428</c:v>
                </c:pt>
                <c:pt idx="169">
                  <c:v>2.8928571428571428</c:v>
                </c:pt>
                <c:pt idx="170">
                  <c:v>2.94</c:v>
                </c:pt>
                <c:pt idx="171">
                  <c:v>2.94</c:v>
                </c:pt>
                <c:pt idx="172">
                  <c:v>2.94</c:v>
                </c:pt>
                <c:pt idx="173">
                  <c:v>2.94</c:v>
                </c:pt>
                <c:pt idx="174">
                  <c:v>2.94</c:v>
                </c:pt>
                <c:pt idx="175">
                  <c:v>2.8928571428571428</c:v>
                </c:pt>
                <c:pt idx="176">
                  <c:v>2.8928571428571428</c:v>
                </c:pt>
                <c:pt idx="177">
                  <c:v>2.8928571428571428</c:v>
                </c:pt>
                <c:pt idx="178">
                  <c:v>2.8928571428571428</c:v>
                </c:pt>
                <c:pt idx="179">
                  <c:v>2.8928571428571428</c:v>
                </c:pt>
                <c:pt idx="180">
                  <c:v>2.8928571428571428</c:v>
                </c:pt>
                <c:pt idx="181">
                  <c:v>2.8928571428571428</c:v>
                </c:pt>
                <c:pt idx="182">
                  <c:v>2.8928571428571428</c:v>
                </c:pt>
                <c:pt idx="183">
                  <c:v>2.8928571428571428</c:v>
                </c:pt>
                <c:pt idx="184">
                  <c:v>2.8928571428571428</c:v>
                </c:pt>
                <c:pt idx="185">
                  <c:v>2.8928571428571428</c:v>
                </c:pt>
                <c:pt idx="186">
                  <c:v>2.8928571428571428</c:v>
                </c:pt>
                <c:pt idx="187">
                  <c:v>2.8928571428571428</c:v>
                </c:pt>
                <c:pt idx="188">
                  <c:v>2.8928571428571428</c:v>
                </c:pt>
                <c:pt idx="189">
                  <c:v>2.8928571428571428</c:v>
                </c:pt>
                <c:pt idx="190">
                  <c:v>2.8928571428571428</c:v>
                </c:pt>
                <c:pt idx="191">
                  <c:v>2.8928571428571428</c:v>
                </c:pt>
                <c:pt idx="192">
                  <c:v>2.8928571428571428</c:v>
                </c:pt>
                <c:pt idx="193">
                  <c:v>2.79</c:v>
                </c:pt>
                <c:pt idx="194">
                  <c:v>2.79</c:v>
                </c:pt>
                <c:pt idx="195">
                  <c:v>2.79</c:v>
                </c:pt>
                <c:pt idx="196">
                  <c:v>2.79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44640"/>
        <c:axId val="158546176"/>
      </c:scatterChart>
      <c:valAx>
        <c:axId val="158544640"/>
        <c:scaling>
          <c:orientation val="minMax"/>
          <c:max val="210"/>
          <c:min val="0"/>
        </c:scaling>
        <c:delete val="0"/>
        <c:axPos val="b"/>
        <c:majorTickMark val="out"/>
        <c:minorTickMark val="none"/>
        <c:tickLblPos val="nextTo"/>
        <c:crossAx val="158546176"/>
        <c:crosses val="autoZero"/>
        <c:crossBetween val="midCat"/>
      </c:valAx>
      <c:valAx>
        <c:axId val="15854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544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Toronto!$Z$1</c:f>
              <c:strCache>
                <c:ptCount val="1"/>
                <c:pt idx="0">
                  <c:v>d (mm)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Toronto!$Z$2:$Z$327</c:f>
              <c:numCache>
                <c:formatCode>General</c:formatCode>
                <c:ptCount val="326"/>
                <c:pt idx="0">
                  <c:v>916</c:v>
                </c:pt>
                <c:pt idx="1">
                  <c:v>916</c:v>
                </c:pt>
                <c:pt idx="2">
                  <c:v>916</c:v>
                </c:pt>
                <c:pt idx="3">
                  <c:v>916</c:v>
                </c:pt>
                <c:pt idx="4">
                  <c:v>916</c:v>
                </c:pt>
                <c:pt idx="5">
                  <c:v>917</c:v>
                </c:pt>
                <c:pt idx="6">
                  <c:v>918</c:v>
                </c:pt>
                <c:pt idx="7">
                  <c:v>437</c:v>
                </c:pt>
                <c:pt idx="8">
                  <c:v>437</c:v>
                </c:pt>
                <c:pt idx="9">
                  <c:v>437</c:v>
                </c:pt>
                <c:pt idx="10">
                  <c:v>437</c:v>
                </c:pt>
                <c:pt idx="11">
                  <c:v>437</c:v>
                </c:pt>
                <c:pt idx="12">
                  <c:v>437</c:v>
                </c:pt>
                <c:pt idx="13">
                  <c:v>437</c:v>
                </c:pt>
                <c:pt idx="14">
                  <c:v>439</c:v>
                </c:pt>
                <c:pt idx="15">
                  <c:v>439</c:v>
                </c:pt>
                <c:pt idx="16">
                  <c:v>439</c:v>
                </c:pt>
                <c:pt idx="17">
                  <c:v>439</c:v>
                </c:pt>
                <c:pt idx="18">
                  <c:v>439</c:v>
                </c:pt>
                <c:pt idx="19">
                  <c:v>439</c:v>
                </c:pt>
                <c:pt idx="20">
                  <c:v>439</c:v>
                </c:pt>
                <c:pt idx="21">
                  <c:v>439</c:v>
                </c:pt>
                <c:pt idx="22">
                  <c:v>439</c:v>
                </c:pt>
                <c:pt idx="23">
                  <c:v>439</c:v>
                </c:pt>
                <c:pt idx="24">
                  <c:v>439</c:v>
                </c:pt>
                <c:pt idx="25">
                  <c:v>439</c:v>
                </c:pt>
                <c:pt idx="26">
                  <c:v>439</c:v>
                </c:pt>
                <c:pt idx="27">
                  <c:v>438</c:v>
                </c:pt>
                <c:pt idx="28">
                  <c:v>438</c:v>
                </c:pt>
                <c:pt idx="29">
                  <c:v>438</c:v>
                </c:pt>
                <c:pt idx="30">
                  <c:v>438</c:v>
                </c:pt>
                <c:pt idx="31">
                  <c:v>438</c:v>
                </c:pt>
                <c:pt idx="32">
                  <c:v>438</c:v>
                </c:pt>
                <c:pt idx="33">
                  <c:v>440</c:v>
                </c:pt>
                <c:pt idx="34">
                  <c:v>440</c:v>
                </c:pt>
                <c:pt idx="35">
                  <c:v>440</c:v>
                </c:pt>
                <c:pt idx="36">
                  <c:v>440</c:v>
                </c:pt>
                <c:pt idx="37">
                  <c:v>440</c:v>
                </c:pt>
                <c:pt idx="38">
                  <c:v>440</c:v>
                </c:pt>
                <c:pt idx="39">
                  <c:v>440</c:v>
                </c:pt>
                <c:pt idx="40">
                  <c:v>307</c:v>
                </c:pt>
                <c:pt idx="41">
                  <c:v>307</c:v>
                </c:pt>
                <c:pt idx="42">
                  <c:v>307</c:v>
                </c:pt>
                <c:pt idx="43">
                  <c:v>307</c:v>
                </c:pt>
                <c:pt idx="44">
                  <c:v>307</c:v>
                </c:pt>
                <c:pt idx="45">
                  <c:v>307</c:v>
                </c:pt>
                <c:pt idx="46">
                  <c:v>307</c:v>
                </c:pt>
                <c:pt idx="47">
                  <c:v>306</c:v>
                </c:pt>
                <c:pt idx="48">
                  <c:v>306</c:v>
                </c:pt>
                <c:pt idx="49">
                  <c:v>306</c:v>
                </c:pt>
                <c:pt idx="50">
                  <c:v>306</c:v>
                </c:pt>
                <c:pt idx="51">
                  <c:v>306</c:v>
                </c:pt>
                <c:pt idx="52">
                  <c:v>306</c:v>
                </c:pt>
                <c:pt idx="53">
                  <c:v>306</c:v>
                </c:pt>
                <c:pt idx="54">
                  <c:v>306</c:v>
                </c:pt>
                <c:pt idx="55">
                  <c:v>306</c:v>
                </c:pt>
                <c:pt idx="56">
                  <c:v>306</c:v>
                </c:pt>
                <c:pt idx="57">
                  <c:v>306</c:v>
                </c:pt>
                <c:pt idx="58">
                  <c:v>306</c:v>
                </c:pt>
                <c:pt idx="59">
                  <c:v>307</c:v>
                </c:pt>
                <c:pt idx="60">
                  <c:v>307</c:v>
                </c:pt>
                <c:pt idx="61">
                  <c:v>307</c:v>
                </c:pt>
                <c:pt idx="62">
                  <c:v>307</c:v>
                </c:pt>
                <c:pt idx="63">
                  <c:v>307</c:v>
                </c:pt>
                <c:pt idx="64">
                  <c:v>1400</c:v>
                </c:pt>
                <c:pt idx="65">
                  <c:v>1400</c:v>
                </c:pt>
                <c:pt idx="66">
                  <c:v>1400</c:v>
                </c:pt>
                <c:pt idx="67">
                  <c:v>1400</c:v>
                </c:pt>
                <c:pt idx="68">
                  <c:v>1400</c:v>
                </c:pt>
                <c:pt idx="69">
                  <c:v>1400</c:v>
                </c:pt>
                <c:pt idx="70">
                  <c:v>1400</c:v>
                </c:pt>
                <c:pt idx="71">
                  <c:v>1400</c:v>
                </c:pt>
                <c:pt idx="72">
                  <c:v>1400</c:v>
                </c:pt>
                <c:pt idx="73">
                  <c:v>1400</c:v>
                </c:pt>
                <c:pt idx="74">
                  <c:v>1400</c:v>
                </c:pt>
                <c:pt idx="75">
                  <c:v>1400</c:v>
                </c:pt>
                <c:pt idx="76">
                  <c:v>1400</c:v>
                </c:pt>
                <c:pt idx="77">
                  <c:v>1400</c:v>
                </c:pt>
                <c:pt idx="78">
                  <c:v>1400</c:v>
                </c:pt>
                <c:pt idx="79">
                  <c:v>1400</c:v>
                </c:pt>
                <c:pt idx="80">
                  <c:v>1400</c:v>
                </c:pt>
                <c:pt idx="81">
                  <c:v>1400</c:v>
                </c:pt>
                <c:pt idx="82">
                  <c:v>1400</c:v>
                </c:pt>
                <c:pt idx="83">
                  <c:v>1400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1400</c:v>
                </c:pt>
                <c:pt idx="89">
                  <c:v>1400</c:v>
                </c:pt>
                <c:pt idx="90">
                  <c:v>1400</c:v>
                </c:pt>
                <c:pt idx="91">
                  <c:v>1400</c:v>
                </c:pt>
                <c:pt idx="92">
                  <c:v>1400</c:v>
                </c:pt>
                <c:pt idx="93">
                  <c:v>1400</c:v>
                </c:pt>
                <c:pt idx="94">
                  <c:v>1400</c:v>
                </c:pt>
                <c:pt idx="95">
                  <c:v>1400</c:v>
                </c:pt>
                <c:pt idx="96">
                  <c:v>1400</c:v>
                </c:pt>
                <c:pt idx="97">
                  <c:v>1400</c:v>
                </c:pt>
                <c:pt idx="98">
                  <c:v>1400</c:v>
                </c:pt>
                <c:pt idx="99">
                  <c:v>1400</c:v>
                </c:pt>
                <c:pt idx="100">
                  <c:v>1400</c:v>
                </c:pt>
                <c:pt idx="101">
                  <c:v>1400</c:v>
                </c:pt>
                <c:pt idx="102">
                  <c:v>1400</c:v>
                </c:pt>
                <c:pt idx="103">
                  <c:v>1400</c:v>
                </c:pt>
                <c:pt idx="104">
                  <c:v>1400</c:v>
                </c:pt>
                <c:pt idx="105">
                  <c:v>1400</c:v>
                </c:pt>
                <c:pt idx="106">
                  <c:v>1400</c:v>
                </c:pt>
                <c:pt idx="107">
                  <c:v>1400</c:v>
                </c:pt>
                <c:pt idx="108">
                  <c:v>1400</c:v>
                </c:pt>
                <c:pt idx="109">
                  <c:v>1400</c:v>
                </c:pt>
                <c:pt idx="110">
                  <c:v>1400</c:v>
                </c:pt>
                <c:pt idx="111">
                  <c:v>280</c:v>
                </c:pt>
                <c:pt idx="112">
                  <c:v>280</c:v>
                </c:pt>
                <c:pt idx="113">
                  <c:v>280</c:v>
                </c:pt>
                <c:pt idx="114">
                  <c:v>280</c:v>
                </c:pt>
                <c:pt idx="115">
                  <c:v>280</c:v>
                </c:pt>
                <c:pt idx="116">
                  <c:v>280</c:v>
                </c:pt>
                <c:pt idx="117">
                  <c:v>280</c:v>
                </c:pt>
                <c:pt idx="118">
                  <c:v>280</c:v>
                </c:pt>
                <c:pt idx="119">
                  <c:v>280</c:v>
                </c:pt>
                <c:pt idx="120">
                  <c:v>280</c:v>
                </c:pt>
                <c:pt idx="121">
                  <c:v>280</c:v>
                </c:pt>
                <c:pt idx="122">
                  <c:v>280</c:v>
                </c:pt>
                <c:pt idx="123">
                  <c:v>280</c:v>
                </c:pt>
                <c:pt idx="124">
                  <c:v>280</c:v>
                </c:pt>
                <c:pt idx="125">
                  <c:v>280</c:v>
                </c:pt>
                <c:pt idx="126">
                  <c:v>280</c:v>
                </c:pt>
                <c:pt idx="127">
                  <c:v>280</c:v>
                </c:pt>
                <c:pt idx="128">
                  <c:v>280</c:v>
                </c:pt>
                <c:pt idx="129">
                  <c:v>280</c:v>
                </c:pt>
                <c:pt idx="130">
                  <c:v>280</c:v>
                </c:pt>
                <c:pt idx="131">
                  <c:v>280</c:v>
                </c:pt>
                <c:pt idx="132">
                  <c:v>280</c:v>
                </c:pt>
                <c:pt idx="133">
                  <c:v>280</c:v>
                </c:pt>
                <c:pt idx="134">
                  <c:v>280</c:v>
                </c:pt>
                <c:pt idx="135">
                  <c:v>280</c:v>
                </c:pt>
                <c:pt idx="136">
                  <c:v>280</c:v>
                </c:pt>
                <c:pt idx="137">
                  <c:v>280</c:v>
                </c:pt>
                <c:pt idx="138">
                  <c:v>280</c:v>
                </c:pt>
                <c:pt idx="139">
                  <c:v>280</c:v>
                </c:pt>
                <c:pt idx="140">
                  <c:v>280</c:v>
                </c:pt>
                <c:pt idx="141">
                  <c:v>280</c:v>
                </c:pt>
                <c:pt idx="142">
                  <c:v>280</c:v>
                </c:pt>
                <c:pt idx="143">
                  <c:v>280</c:v>
                </c:pt>
                <c:pt idx="144">
                  <c:v>280</c:v>
                </c:pt>
                <c:pt idx="145">
                  <c:v>280</c:v>
                </c:pt>
                <c:pt idx="146">
                  <c:v>280</c:v>
                </c:pt>
                <c:pt idx="147">
                  <c:v>280</c:v>
                </c:pt>
                <c:pt idx="148">
                  <c:v>280</c:v>
                </c:pt>
                <c:pt idx="149">
                  <c:v>280</c:v>
                </c:pt>
                <c:pt idx="150">
                  <c:v>280</c:v>
                </c:pt>
                <c:pt idx="151">
                  <c:v>280</c:v>
                </c:pt>
                <c:pt idx="152">
                  <c:v>280</c:v>
                </c:pt>
                <c:pt idx="153">
                  <c:v>280</c:v>
                </c:pt>
                <c:pt idx="154">
                  <c:v>280</c:v>
                </c:pt>
                <c:pt idx="155">
                  <c:v>280</c:v>
                </c:pt>
                <c:pt idx="156">
                  <c:v>280</c:v>
                </c:pt>
                <c:pt idx="157">
                  <c:v>280</c:v>
                </c:pt>
                <c:pt idx="158">
                  <c:v>280</c:v>
                </c:pt>
                <c:pt idx="159">
                  <c:v>280</c:v>
                </c:pt>
                <c:pt idx="160">
                  <c:v>280</c:v>
                </c:pt>
                <c:pt idx="161">
                  <c:v>280</c:v>
                </c:pt>
                <c:pt idx="162">
                  <c:v>280</c:v>
                </c:pt>
                <c:pt idx="163">
                  <c:v>280</c:v>
                </c:pt>
                <c:pt idx="164">
                  <c:v>280</c:v>
                </c:pt>
                <c:pt idx="165">
                  <c:v>280</c:v>
                </c:pt>
                <c:pt idx="166">
                  <c:v>280</c:v>
                </c:pt>
                <c:pt idx="167">
                  <c:v>280</c:v>
                </c:pt>
                <c:pt idx="168">
                  <c:v>280</c:v>
                </c:pt>
                <c:pt idx="169">
                  <c:v>280</c:v>
                </c:pt>
                <c:pt idx="170">
                  <c:v>250</c:v>
                </c:pt>
                <c:pt idx="171">
                  <c:v>250</c:v>
                </c:pt>
                <c:pt idx="172">
                  <c:v>250</c:v>
                </c:pt>
                <c:pt idx="173">
                  <c:v>250</c:v>
                </c:pt>
                <c:pt idx="174">
                  <c:v>250</c:v>
                </c:pt>
                <c:pt idx="175">
                  <c:v>280</c:v>
                </c:pt>
                <c:pt idx="176">
                  <c:v>280</c:v>
                </c:pt>
                <c:pt idx="177">
                  <c:v>280</c:v>
                </c:pt>
                <c:pt idx="178">
                  <c:v>280</c:v>
                </c:pt>
                <c:pt idx="179">
                  <c:v>280</c:v>
                </c:pt>
                <c:pt idx="180">
                  <c:v>280</c:v>
                </c:pt>
                <c:pt idx="181">
                  <c:v>280</c:v>
                </c:pt>
                <c:pt idx="182">
                  <c:v>280</c:v>
                </c:pt>
                <c:pt idx="183">
                  <c:v>280</c:v>
                </c:pt>
                <c:pt idx="184">
                  <c:v>280</c:v>
                </c:pt>
                <c:pt idx="185">
                  <c:v>280</c:v>
                </c:pt>
                <c:pt idx="186">
                  <c:v>280</c:v>
                </c:pt>
                <c:pt idx="187">
                  <c:v>280</c:v>
                </c:pt>
                <c:pt idx="188">
                  <c:v>280</c:v>
                </c:pt>
                <c:pt idx="189">
                  <c:v>280</c:v>
                </c:pt>
                <c:pt idx="190">
                  <c:v>280</c:v>
                </c:pt>
                <c:pt idx="191">
                  <c:v>280</c:v>
                </c:pt>
                <c:pt idx="192">
                  <c:v>280</c:v>
                </c:pt>
                <c:pt idx="193">
                  <c:v>1450</c:v>
                </c:pt>
                <c:pt idx="194">
                  <c:v>1450</c:v>
                </c:pt>
                <c:pt idx="195">
                  <c:v>1450</c:v>
                </c:pt>
                <c:pt idx="196">
                  <c:v>1450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62176"/>
        <c:axId val="158563712"/>
      </c:scatterChart>
      <c:valAx>
        <c:axId val="158562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563712"/>
        <c:crosses val="autoZero"/>
        <c:crossBetween val="midCat"/>
      </c:valAx>
      <c:valAx>
        <c:axId val="158563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5621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Toronto!$AJ$1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Toronto!$AJ$2:$AJ$327</c:f>
              <c:numCache>
                <c:formatCode>General</c:formatCode>
                <c:ptCount val="32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96096"/>
        <c:axId val="158597888"/>
      </c:scatterChart>
      <c:valAx>
        <c:axId val="15859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597888"/>
        <c:crosses val="autoZero"/>
        <c:crossBetween val="midCat"/>
      </c:valAx>
      <c:valAx>
        <c:axId val="15859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5960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'4mdeep'!$V$2:$V$12</c:f>
              <c:numCache>
                <c:formatCode>General</c:formatCode>
                <c:ptCount val="11"/>
                <c:pt idx="0">
                  <c:v>0.1572151803746186</c:v>
                </c:pt>
                <c:pt idx="1">
                  <c:v>0.37388191800245457</c:v>
                </c:pt>
                <c:pt idx="2">
                  <c:v>0.31317765014864268</c:v>
                </c:pt>
                <c:pt idx="3">
                  <c:v>0.39147206268580337</c:v>
                </c:pt>
                <c:pt idx="4">
                  <c:v>0.42905338070364046</c:v>
                </c:pt>
                <c:pt idx="5">
                  <c:v>0.62635530029728537</c:v>
                </c:pt>
                <c:pt idx="6">
                  <c:v>0.86123853790876737</c:v>
                </c:pt>
                <c:pt idx="7">
                  <c:v>1.0961217755202495</c:v>
                </c:pt>
                <c:pt idx="8">
                  <c:v>1.2646113513002191</c:v>
                </c:pt>
                <c:pt idx="9">
                  <c:v>1.3541801592427309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065984"/>
        <c:axId val="159067520"/>
      </c:scatterChart>
      <c:valAx>
        <c:axId val="159065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59067520"/>
        <c:crosses val="autoZero"/>
        <c:crossBetween val="midCat"/>
      </c:valAx>
      <c:valAx>
        <c:axId val="1590675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065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'4mdeep'!$W$2:$W$12</c:f>
              <c:numCache>
                <c:formatCode>General</c:formatCode>
                <c:ptCount val="11"/>
                <c:pt idx="0">
                  <c:v>0.11609620721554116</c:v>
                </c:pt>
                <c:pt idx="1">
                  <c:v>0.27609466543324085</c:v>
                </c:pt>
                <c:pt idx="2">
                  <c:v>0.23126734505087881</c:v>
                </c:pt>
                <c:pt idx="3">
                  <c:v>0.28908418131359853</c:v>
                </c:pt>
                <c:pt idx="4">
                  <c:v>0.316836262719704</c:v>
                </c:pt>
                <c:pt idx="5">
                  <c:v>0.46253469010175763</c:v>
                </c:pt>
                <c:pt idx="6">
                  <c:v>0.63598519888991678</c:v>
                </c:pt>
                <c:pt idx="7">
                  <c:v>0.80943570767807593</c:v>
                </c:pt>
                <c:pt idx="8">
                  <c:v>0.93385753931544868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32672"/>
        <c:axId val="159142656"/>
      </c:scatterChart>
      <c:valAx>
        <c:axId val="159132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9142656"/>
        <c:crosses val="autoZero"/>
        <c:crossBetween val="midCat"/>
      </c:valAx>
      <c:valAx>
        <c:axId val="15914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1326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'4mdeep'!$D$1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'4mdeep'!$D$2:$D$12</c:f>
              <c:numCache>
                <c:formatCode>General</c:formatCode>
                <c:ptCount val="11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3.1</c:v>
                </c:pt>
                <c:pt idx="8">
                  <c:v>3.1</c:v>
                </c:pt>
                <c:pt idx="9">
                  <c:v>3.1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23200"/>
        <c:axId val="159524736"/>
      </c:scatterChart>
      <c:valAx>
        <c:axId val="15952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9524736"/>
        <c:crosses val="autoZero"/>
        <c:crossBetween val="midCat"/>
      </c:valAx>
      <c:valAx>
        <c:axId val="15952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523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3050938662043975E-2"/>
          <c:y val="0.21862142551034885"/>
          <c:w val="0.87614621410836968"/>
          <c:h val="0.68826157417225997"/>
        </c:manualLayout>
      </c:layout>
      <c:scatterChart>
        <c:scatterStyle val="lineMarker"/>
        <c:varyColors val="0"/>
        <c:ser>
          <c:idx val="0"/>
          <c:order val="0"/>
          <c:tx>
            <c:strRef>
              <c:f>deep!$V$1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deep!$V$2:$V$27</c:f>
              <c:numCache>
                <c:formatCode>General</c:formatCode>
                <c:ptCount val="26"/>
                <c:pt idx="0">
                  <c:v>0.1572151803746186</c:v>
                </c:pt>
                <c:pt idx="1">
                  <c:v>0.37388191800245457</c:v>
                </c:pt>
                <c:pt idx="2">
                  <c:v>0.31317765014864268</c:v>
                </c:pt>
                <c:pt idx="3">
                  <c:v>0.39147206268580337</c:v>
                </c:pt>
                <c:pt idx="4">
                  <c:v>0.42905338070364046</c:v>
                </c:pt>
                <c:pt idx="5">
                  <c:v>0.62635530029728537</c:v>
                </c:pt>
                <c:pt idx="6">
                  <c:v>0.86123853790876737</c:v>
                </c:pt>
                <c:pt idx="7">
                  <c:v>1.0961217755202495</c:v>
                </c:pt>
                <c:pt idx="8">
                  <c:v>1.2646113513002191</c:v>
                </c:pt>
                <c:pt idx="9">
                  <c:v>1.3541801592427309</c:v>
                </c:pt>
                <c:pt idx="10">
                  <c:v>0.18455414226027525</c:v>
                </c:pt>
                <c:pt idx="11">
                  <c:v>0.22033504739236945</c:v>
                </c:pt>
                <c:pt idx="12">
                  <c:v>0.32956096832192006</c:v>
                </c:pt>
                <c:pt idx="13">
                  <c:v>0.43313727265166641</c:v>
                </c:pt>
                <c:pt idx="14">
                  <c:v>0.12957951902145631</c:v>
                </c:pt>
                <c:pt idx="15">
                  <c:v>0.21596586503576051</c:v>
                </c:pt>
                <c:pt idx="16">
                  <c:v>0.27486564640914973</c:v>
                </c:pt>
                <c:pt idx="17">
                  <c:v>0.32002214546208152</c:v>
                </c:pt>
                <c:pt idx="18">
                  <c:v>0.36910529660657254</c:v>
                </c:pt>
                <c:pt idx="19">
                  <c:v>0.39266520915592823</c:v>
                </c:pt>
                <c:pt idx="20">
                  <c:v>0.30607387310702622</c:v>
                </c:pt>
                <c:pt idx="21">
                  <c:v>0.4591108096605393</c:v>
                </c:pt>
                <c:pt idx="22">
                  <c:v>0.53052804671884546</c:v>
                </c:pt>
                <c:pt idx="23">
                  <c:v>0.63255267108785418</c:v>
                </c:pt>
                <c:pt idx="24">
                  <c:v>0.7345772954568629</c:v>
                </c:pt>
                <c:pt idx="25">
                  <c:v>0.77538714520446639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27648"/>
        <c:axId val="158829184"/>
      </c:scatterChart>
      <c:valAx>
        <c:axId val="158827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8829184"/>
        <c:crosses val="autoZero"/>
        <c:crossBetween val="midCat"/>
      </c:valAx>
      <c:valAx>
        <c:axId val="158829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8827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deep!$W$2:$W$12</c:f>
              <c:numCache>
                <c:formatCode>General</c:formatCode>
                <c:ptCount val="11"/>
                <c:pt idx="0">
                  <c:v>0.11609620721554116</c:v>
                </c:pt>
                <c:pt idx="1">
                  <c:v>0.27609466543324085</c:v>
                </c:pt>
                <c:pt idx="2">
                  <c:v>0.23126734505087881</c:v>
                </c:pt>
                <c:pt idx="3">
                  <c:v>0.28908418131359853</c:v>
                </c:pt>
                <c:pt idx="4">
                  <c:v>0.316836262719704</c:v>
                </c:pt>
                <c:pt idx="5">
                  <c:v>0.46253469010175763</c:v>
                </c:pt>
                <c:pt idx="6">
                  <c:v>0.63598519888991678</c:v>
                </c:pt>
                <c:pt idx="7">
                  <c:v>0.80943570767807593</c:v>
                </c:pt>
                <c:pt idx="8">
                  <c:v>0.93385753931544868</c:v>
                </c:pt>
                <c:pt idx="9">
                  <c:v>1</c:v>
                </c:pt>
                <c:pt idx="10">
                  <c:v>0.42608695652173911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41216"/>
        <c:axId val="160047104"/>
      </c:scatterChart>
      <c:valAx>
        <c:axId val="16004121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047104"/>
        <c:crosses val="autoZero"/>
        <c:crossBetween val="midCat"/>
      </c:valAx>
      <c:valAx>
        <c:axId val="160047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41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deep!$D$2:$D$12</c:f>
              <c:numCache>
                <c:formatCode>General</c:formatCode>
                <c:ptCount val="11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  <c:pt idx="3">
                  <c:v>3.1</c:v>
                </c:pt>
                <c:pt idx="4">
                  <c:v>3.1</c:v>
                </c:pt>
                <c:pt idx="5">
                  <c:v>3.1</c:v>
                </c:pt>
                <c:pt idx="6">
                  <c:v>3.1</c:v>
                </c:pt>
                <c:pt idx="7">
                  <c:v>3.1</c:v>
                </c:pt>
                <c:pt idx="8">
                  <c:v>3.1</c:v>
                </c:pt>
                <c:pt idx="9">
                  <c:v>3.1</c:v>
                </c:pt>
                <c:pt idx="10">
                  <c:v>2.86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58752"/>
        <c:axId val="160085120"/>
      </c:scatterChart>
      <c:valAx>
        <c:axId val="160058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0085120"/>
        <c:crosses val="autoZero"/>
        <c:crossBetween val="midCat"/>
      </c:valAx>
      <c:valAx>
        <c:axId val="16008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0587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deep!$AJ$1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deep!$AJ$2:$AJ$331</c:f>
              <c:numCache>
                <c:formatCode>General</c:formatCode>
                <c:ptCount val="330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01120"/>
        <c:axId val="160102656"/>
      </c:scatterChart>
      <c:valAx>
        <c:axId val="160101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60102656"/>
        <c:crosses val="autoZero"/>
        <c:crossBetween val="midCat"/>
      </c:valAx>
      <c:valAx>
        <c:axId val="16010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101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2891294838145233E-2"/>
          <c:y val="0.20406277340332457"/>
          <c:w val="0.8763587051618547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Uniform!$V$1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Uniform!$V$2:$V$324</c:f>
              <c:numCache>
                <c:formatCode>General</c:formatCode>
                <c:ptCount val="323"/>
                <c:pt idx="0">
                  <c:v>0.3756567002706418</c:v>
                </c:pt>
                <c:pt idx="1">
                  <c:v>0.54599056869660789</c:v>
                </c:pt>
                <c:pt idx="2">
                  <c:v>0.68757381601882805</c:v>
                </c:pt>
                <c:pt idx="3">
                  <c:v>0.80962833957246616</c:v>
                </c:pt>
                <c:pt idx="4">
                  <c:v>0.91947741077074041</c:v>
                </c:pt>
                <c:pt idx="5">
                  <c:v>0.95744992920965011</c:v>
                </c:pt>
                <c:pt idx="6">
                  <c:v>0.59154279641149543</c:v>
                </c:pt>
                <c:pt idx="7">
                  <c:v>1.1787424004851679</c:v>
                </c:pt>
                <c:pt idx="8">
                  <c:v>1.5444391953298662</c:v>
                </c:pt>
                <c:pt idx="9">
                  <c:v>2.0882068760253087</c:v>
                </c:pt>
                <c:pt idx="10">
                  <c:v>2.7092833803340004</c:v>
                </c:pt>
                <c:pt idx="11">
                  <c:v>0.81130832870534031</c:v>
                </c:pt>
                <c:pt idx="12">
                  <c:v>1.393296101973625</c:v>
                </c:pt>
                <c:pt idx="13">
                  <c:v>1.9196910133177751</c:v>
                </c:pt>
                <c:pt idx="14">
                  <c:v>2.4877805711050263</c:v>
                </c:pt>
                <c:pt idx="15">
                  <c:v>2.9724808360060755</c:v>
                </c:pt>
                <c:pt idx="16">
                  <c:v>3.4901893626745792</c:v>
                </c:pt>
                <c:pt idx="17">
                  <c:v>3.8480684113111963</c:v>
                </c:pt>
                <c:pt idx="18">
                  <c:v>0.7292481494681029</c:v>
                </c:pt>
                <c:pt idx="19">
                  <c:v>0.86380890803041421</c:v>
                </c:pt>
                <c:pt idx="20">
                  <c:v>0.94807111381282305</c:v>
                </c:pt>
                <c:pt idx="21">
                  <c:v>1.04462492734852</c:v>
                </c:pt>
                <c:pt idx="22">
                  <c:v>1.1046273809862812</c:v>
                </c:pt>
                <c:pt idx="23">
                  <c:v>1.2841495468566726</c:v>
                </c:pt>
                <c:pt idx="24">
                  <c:v>1.7596406888917631</c:v>
                </c:pt>
                <c:pt idx="25">
                  <c:v>2.6734246863401507</c:v>
                </c:pt>
                <c:pt idx="26">
                  <c:v>0.38378230943452379</c:v>
                </c:pt>
                <c:pt idx="27">
                  <c:v>0.57310921709543039</c:v>
                </c:pt>
                <c:pt idx="28">
                  <c:v>0.78636909728232052</c:v>
                </c:pt>
                <c:pt idx="29">
                  <c:v>0.99649489773366517</c:v>
                </c:pt>
                <c:pt idx="30">
                  <c:v>1.2108944432789355</c:v>
                </c:pt>
                <c:pt idx="31">
                  <c:v>1.428855443069144</c:v>
                </c:pt>
                <c:pt idx="32">
                  <c:v>1.6439672794634019</c:v>
                </c:pt>
                <c:pt idx="33">
                  <c:v>1.8505316256698086</c:v>
                </c:pt>
                <c:pt idx="34">
                  <c:v>1.9246098739645199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149504"/>
        <c:axId val="160151040"/>
      </c:scatterChart>
      <c:valAx>
        <c:axId val="160149504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60151040"/>
        <c:crosses val="autoZero"/>
        <c:crossBetween val="midCat"/>
      </c:valAx>
      <c:valAx>
        <c:axId val="160151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01495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Uniform!$W$2:$W$324</c:f>
              <c:numCache>
                <c:formatCode>General</c:formatCode>
                <c:ptCount val="323"/>
                <c:pt idx="0">
                  <c:v>0.3923512747875354</c:v>
                </c:pt>
                <c:pt idx="1">
                  <c:v>0.57025495750708211</c:v>
                </c:pt>
                <c:pt idx="2">
                  <c:v>0.71813031161473084</c:v>
                </c:pt>
                <c:pt idx="3">
                  <c:v>0.84560906515580736</c:v>
                </c:pt>
                <c:pt idx="4">
                  <c:v>0.96033994334277617</c:v>
                </c:pt>
                <c:pt idx="5">
                  <c:v>1</c:v>
                </c:pt>
                <c:pt idx="6">
                  <c:v>0.21833921128566849</c:v>
                </c:pt>
                <c:pt idx="7">
                  <c:v>0.43507534466175057</c:v>
                </c:pt>
                <c:pt idx="8">
                  <c:v>0.57005450464892593</c:v>
                </c:pt>
                <c:pt idx="9">
                  <c:v>0.770759858929144</c:v>
                </c:pt>
                <c:pt idx="10">
                  <c:v>1</c:v>
                </c:pt>
                <c:pt idx="11">
                  <c:v>0.21083521444695261</c:v>
                </c:pt>
                <c:pt idx="12">
                  <c:v>0.36207674943566592</c:v>
                </c:pt>
                <c:pt idx="13">
                  <c:v>0.49887133182844245</c:v>
                </c:pt>
                <c:pt idx="14">
                  <c:v>0.64650112866817155</c:v>
                </c:pt>
                <c:pt idx="15">
                  <c:v>0.77246049661399552</c:v>
                </c:pt>
                <c:pt idx="16">
                  <c:v>0.90699774266365685</c:v>
                </c:pt>
                <c:pt idx="17">
                  <c:v>1</c:v>
                </c:pt>
                <c:pt idx="18">
                  <c:v>0.27277676950998186</c:v>
                </c:pt>
                <c:pt idx="19">
                  <c:v>0.32310949788263765</c:v>
                </c:pt>
                <c:pt idx="20">
                  <c:v>0.35462794918330309</c:v>
                </c:pt>
                <c:pt idx="21">
                  <c:v>0.39074410163339385</c:v>
                </c:pt>
                <c:pt idx="22">
                  <c:v>0.41318814277071991</c:v>
                </c:pt>
                <c:pt idx="23">
                  <c:v>0.48033877797943136</c:v>
                </c:pt>
                <c:pt idx="24">
                  <c:v>0.6581972171808832</c:v>
                </c:pt>
                <c:pt idx="25">
                  <c:v>1</c:v>
                </c:pt>
                <c:pt idx="26">
                  <c:v>0.19940784603997036</c:v>
                </c:pt>
                <c:pt idx="27">
                  <c:v>0.29777942264988899</c:v>
                </c:pt>
                <c:pt idx="28">
                  <c:v>0.4085862324204293</c:v>
                </c:pt>
                <c:pt idx="29">
                  <c:v>0.5177646188008882</c:v>
                </c:pt>
                <c:pt idx="30">
                  <c:v>0.62916358253145821</c:v>
                </c:pt>
                <c:pt idx="31">
                  <c:v>0.74241302738712067</c:v>
                </c:pt>
                <c:pt idx="32">
                  <c:v>0.85418208734270906</c:v>
                </c:pt>
                <c:pt idx="33">
                  <c:v>0.96150999259807546</c:v>
                </c:pt>
                <c:pt idx="34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82688"/>
        <c:axId val="162884224"/>
      </c:scatterChart>
      <c:valAx>
        <c:axId val="162882688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62884224"/>
        <c:crosses val="autoZero"/>
        <c:crossBetween val="midCat"/>
      </c:valAx>
      <c:valAx>
        <c:axId val="16288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882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Uniform!$D$2:$D$324</c:f>
              <c:numCache>
                <c:formatCode>General</c:formatCode>
                <c:ptCount val="323"/>
                <c:pt idx="0">
                  <c:v>2.5945945945945947</c:v>
                </c:pt>
                <c:pt idx="1">
                  <c:v>2.5945945945945947</c:v>
                </c:pt>
                <c:pt idx="2">
                  <c:v>2.5945945945945947</c:v>
                </c:pt>
                <c:pt idx="3">
                  <c:v>2.5945945945945947</c:v>
                </c:pt>
                <c:pt idx="4">
                  <c:v>2.5945945945945947</c:v>
                </c:pt>
                <c:pt idx="5">
                  <c:v>2.5945945945945947</c:v>
                </c:pt>
                <c:pt idx="6">
                  <c:v>1.9459459459459461</c:v>
                </c:pt>
                <c:pt idx="7">
                  <c:v>1.9459459459459461</c:v>
                </c:pt>
                <c:pt idx="8">
                  <c:v>1.9459459459459461</c:v>
                </c:pt>
                <c:pt idx="9">
                  <c:v>1.9459459459459461</c:v>
                </c:pt>
                <c:pt idx="10">
                  <c:v>1.9459459459459461</c:v>
                </c:pt>
                <c:pt idx="11">
                  <c:v>1.6216216216216217</c:v>
                </c:pt>
                <c:pt idx="12">
                  <c:v>1.6216216216216217</c:v>
                </c:pt>
                <c:pt idx="13">
                  <c:v>1.6216216216216217</c:v>
                </c:pt>
                <c:pt idx="14">
                  <c:v>1.6216216216216217</c:v>
                </c:pt>
                <c:pt idx="15">
                  <c:v>1.6216216216216217</c:v>
                </c:pt>
                <c:pt idx="16">
                  <c:v>1.6216216216216217</c:v>
                </c:pt>
                <c:pt idx="17">
                  <c:v>1.6216216216216217</c:v>
                </c:pt>
                <c:pt idx="18">
                  <c:v>2.5945945945945947</c:v>
                </c:pt>
                <c:pt idx="19">
                  <c:v>2.5945945945945947</c:v>
                </c:pt>
                <c:pt idx="20">
                  <c:v>2.5945945945945947</c:v>
                </c:pt>
                <c:pt idx="21">
                  <c:v>2.5945945945945947</c:v>
                </c:pt>
                <c:pt idx="22">
                  <c:v>2.5945945945945947</c:v>
                </c:pt>
                <c:pt idx="23">
                  <c:v>2.5945945945945947</c:v>
                </c:pt>
                <c:pt idx="24">
                  <c:v>2.5945945945945947</c:v>
                </c:pt>
                <c:pt idx="25">
                  <c:v>2.5945945945945947</c:v>
                </c:pt>
                <c:pt idx="26">
                  <c:v>3.2432432432432434</c:v>
                </c:pt>
                <c:pt idx="27">
                  <c:v>3.2432432432432434</c:v>
                </c:pt>
                <c:pt idx="28">
                  <c:v>3.2432432432432434</c:v>
                </c:pt>
                <c:pt idx="29">
                  <c:v>3.2432432432432434</c:v>
                </c:pt>
                <c:pt idx="30">
                  <c:v>3.2432432432432434</c:v>
                </c:pt>
                <c:pt idx="31">
                  <c:v>3.2432432432432434</c:v>
                </c:pt>
                <c:pt idx="32">
                  <c:v>3.2432432432432434</c:v>
                </c:pt>
                <c:pt idx="33">
                  <c:v>3.2432432432432434</c:v>
                </c:pt>
                <c:pt idx="34">
                  <c:v>3.2432432432432434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912896"/>
        <c:axId val="162918784"/>
      </c:scatterChart>
      <c:valAx>
        <c:axId val="162912896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62918784"/>
        <c:crosses val="autoZero"/>
        <c:crossBetween val="midCat"/>
      </c:valAx>
      <c:valAx>
        <c:axId val="162918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912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Uniform!$AJ$1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Uniform!$AJ$2:$AJ$324</c:f>
              <c:numCache>
                <c:formatCode>General</c:formatCode>
                <c:ptCount val="323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84928"/>
        <c:axId val="162686464"/>
      </c:scatterChart>
      <c:valAx>
        <c:axId val="16268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162686464"/>
        <c:crosses val="autoZero"/>
        <c:crossBetween val="midCat"/>
      </c:valAx>
      <c:valAx>
        <c:axId val="162686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684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2891294838145233E-2"/>
          <c:y val="0.20406277340332457"/>
          <c:w val="0.8763587051618547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Uniform_0!$V$1</c:f>
              <c:strCache>
                <c:ptCount val="1"/>
                <c:pt idx="0">
                  <c:v>V/(2*sqrt(fc) bd)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Uniform_0!$V$2:$V$331</c:f>
              <c:numCache>
                <c:formatCode>General</c:formatCode>
                <c:ptCount val="330"/>
                <c:pt idx="0">
                  <c:v>0.3756567002706418</c:v>
                </c:pt>
                <c:pt idx="1">
                  <c:v>0.54599056869660789</c:v>
                </c:pt>
                <c:pt idx="2">
                  <c:v>0.68757381601882805</c:v>
                </c:pt>
                <c:pt idx="3">
                  <c:v>0.80962833957246616</c:v>
                </c:pt>
                <c:pt idx="4">
                  <c:v>0.91947741077074041</c:v>
                </c:pt>
                <c:pt idx="5">
                  <c:v>0.95744992920965011</c:v>
                </c:pt>
                <c:pt idx="6">
                  <c:v>0.59154279641149543</c:v>
                </c:pt>
                <c:pt idx="7">
                  <c:v>1.1787424004851679</c:v>
                </c:pt>
                <c:pt idx="8">
                  <c:v>1.5444391953298662</c:v>
                </c:pt>
                <c:pt idx="9">
                  <c:v>2.0882068760253087</c:v>
                </c:pt>
                <c:pt idx="10">
                  <c:v>2.7092833803340004</c:v>
                </c:pt>
                <c:pt idx="11">
                  <c:v>0.67765574324048594</c:v>
                </c:pt>
                <c:pt idx="12">
                  <c:v>1.1385910339887879</c:v>
                </c:pt>
                <c:pt idx="13">
                  <c:v>1.6213601016672723</c:v>
                </c:pt>
                <c:pt idx="14">
                  <c:v>2.0459057641986029</c:v>
                </c:pt>
                <c:pt idx="15">
                  <c:v>2.5860895786194198</c:v>
                </c:pt>
                <c:pt idx="16">
                  <c:v>3.0745192551316558</c:v>
                </c:pt>
                <c:pt idx="17">
                  <c:v>3.3049869005058068</c:v>
                </c:pt>
                <c:pt idx="18">
                  <c:v>0.81130832870534031</c:v>
                </c:pt>
                <c:pt idx="19">
                  <c:v>1.393296101973625</c:v>
                </c:pt>
                <c:pt idx="20">
                  <c:v>1.9196910133177751</c:v>
                </c:pt>
                <c:pt idx="21">
                  <c:v>2.4877805711050263</c:v>
                </c:pt>
                <c:pt idx="22">
                  <c:v>2.9724808360060755</c:v>
                </c:pt>
                <c:pt idx="23">
                  <c:v>3.4901893626745792</c:v>
                </c:pt>
                <c:pt idx="24">
                  <c:v>3.8480684113111963</c:v>
                </c:pt>
                <c:pt idx="25">
                  <c:v>0.7292481494681029</c:v>
                </c:pt>
                <c:pt idx="26">
                  <c:v>0.86380890803041421</c:v>
                </c:pt>
                <c:pt idx="27">
                  <c:v>0.94807111381282305</c:v>
                </c:pt>
                <c:pt idx="28">
                  <c:v>1.04462492734852</c:v>
                </c:pt>
                <c:pt idx="29">
                  <c:v>1.1046273809862812</c:v>
                </c:pt>
                <c:pt idx="30">
                  <c:v>1.2841495468566726</c:v>
                </c:pt>
                <c:pt idx="31">
                  <c:v>1.7596406888917631</c:v>
                </c:pt>
                <c:pt idx="32">
                  <c:v>2.6734246863401507</c:v>
                </c:pt>
                <c:pt idx="33">
                  <c:v>0.38378230943452379</c:v>
                </c:pt>
                <c:pt idx="34">
                  <c:v>0.57310921709543039</c:v>
                </c:pt>
                <c:pt idx="35">
                  <c:v>0.78636909728232052</c:v>
                </c:pt>
                <c:pt idx="36">
                  <c:v>0.99649489773366517</c:v>
                </c:pt>
                <c:pt idx="37">
                  <c:v>1.2108944432789355</c:v>
                </c:pt>
                <c:pt idx="38">
                  <c:v>1.428855443069144</c:v>
                </c:pt>
                <c:pt idx="39">
                  <c:v>1.6439672794634019</c:v>
                </c:pt>
                <c:pt idx="40">
                  <c:v>1.8505316256698086</c:v>
                </c:pt>
                <c:pt idx="41">
                  <c:v>1.9246098739645199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59040"/>
        <c:axId val="162760576"/>
      </c:scatterChart>
      <c:valAx>
        <c:axId val="162759040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62760576"/>
        <c:crosses val="autoZero"/>
        <c:crossBetween val="midCat"/>
      </c:valAx>
      <c:valAx>
        <c:axId val="16276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7590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Uniform_0!$W$1</c:f>
              <c:strCache>
                <c:ptCount val="1"/>
                <c:pt idx="0">
                  <c:v>M/M_fracture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Uniform_0!$W$2:$W$331</c:f>
              <c:numCache>
                <c:formatCode>General</c:formatCode>
                <c:ptCount val="330"/>
                <c:pt idx="0">
                  <c:v>0.3923512747875354</c:v>
                </c:pt>
                <c:pt idx="1">
                  <c:v>0.57025495750708211</c:v>
                </c:pt>
                <c:pt idx="2">
                  <c:v>0.71813031161473084</c:v>
                </c:pt>
                <c:pt idx="3">
                  <c:v>0.84560906515580736</c:v>
                </c:pt>
                <c:pt idx="4">
                  <c:v>0.96033994334277617</c:v>
                </c:pt>
                <c:pt idx="5">
                  <c:v>1</c:v>
                </c:pt>
                <c:pt idx="6">
                  <c:v>0.21833921128566849</c:v>
                </c:pt>
                <c:pt idx="7">
                  <c:v>0.43507534466175057</c:v>
                </c:pt>
                <c:pt idx="8">
                  <c:v>0.57005450464892593</c:v>
                </c:pt>
                <c:pt idx="9">
                  <c:v>0.770759858929144</c:v>
                </c:pt>
                <c:pt idx="10">
                  <c:v>1</c:v>
                </c:pt>
                <c:pt idx="11">
                  <c:v>0.20504037191093713</c:v>
                </c:pt>
                <c:pt idx="12">
                  <c:v>0.34450697333007096</c:v>
                </c:pt>
                <c:pt idx="13">
                  <c:v>0.49057988744800585</c:v>
                </c:pt>
                <c:pt idx="14">
                  <c:v>0.61903596770247127</c:v>
                </c:pt>
                <c:pt idx="15">
                  <c:v>0.78248103743577191</c:v>
                </c:pt>
                <c:pt idx="16">
                  <c:v>0.93026669929043304</c:v>
                </c:pt>
                <c:pt idx="17">
                  <c:v>1</c:v>
                </c:pt>
                <c:pt idx="18">
                  <c:v>0.21083521444695261</c:v>
                </c:pt>
                <c:pt idx="19">
                  <c:v>0.36207674943566592</c:v>
                </c:pt>
                <c:pt idx="20">
                  <c:v>0.49887133182844245</c:v>
                </c:pt>
                <c:pt idx="21">
                  <c:v>0.64650112866817155</c:v>
                </c:pt>
                <c:pt idx="22">
                  <c:v>0.77246049661399552</c:v>
                </c:pt>
                <c:pt idx="23">
                  <c:v>0.90699774266365685</c:v>
                </c:pt>
                <c:pt idx="24">
                  <c:v>1</c:v>
                </c:pt>
                <c:pt idx="25">
                  <c:v>0.27277676950998186</c:v>
                </c:pt>
                <c:pt idx="26">
                  <c:v>0.32310949788263765</c:v>
                </c:pt>
                <c:pt idx="27">
                  <c:v>0.35462794918330309</c:v>
                </c:pt>
                <c:pt idx="28">
                  <c:v>0.39074410163339385</c:v>
                </c:pt>
                <c:pt idx="29">
                  <c:v>0.41318814277071991</c:v>
                </c:pt>
                <c:pt idx="30">
                  <c:v>0.48033877797943136</c:v>
                </c:pt>
                <c:pt idx="31">
                  <c:v>0.6581972171808832</c:v>
                </c:pt>
                <c:pt idx="32">
                  <c:v>1</c:v>
                </c:pt>
                <c:pt idx="33">
                  <c:v>0.19940784603997036</c:v>
                </c:pt>
                <c:pt idx="34">
                  <c:v>0.29777942264988899</c:v>
                </c:pt>
                <c:pt idx="35">
                  <c:v>0.4085862324204293</c:v>
                </c:pt>
                <c:pt idx="36">
                  <c:v>0.5177646188008882</c:v>
                </c:pt>
                <c:pt idx="37">
                  <c:v>0.62916358253145821</c:v>
                </c:pt>
                <c:pt idx="38">
                  <c:v>0.74241302738712067</c:v>
                </c:pt>
                <c:pt idx="39">
                  <c:v>0.85418208734270906</c:v>
                </c:pt>
                <c:pt idx="40">
                  <c:v>0.96150999259807546</c:v>
                </c:pt>
                <c:pt idx="41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4768"/>
        <c:axId val="162786304"/>
      </c:scatterChart>
      <c:valAx>
        <c:axId val="162784768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62786304"/>
        <c:crosses val="autoZero"/>
        <c:crossBetween val="midCat"/>
      </c:valAx>
      <c:valAx>
        <c:axId val="162786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2784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Uniform_0!$D$1</c:f>
              <c:strCache>
                <c:ptCount val="1"/>
                <c:pt idx="0">
                  <c:v>d/a</c:v>
                </c:pt>
              </c:strCache>
            </c:strRef>
          </c:tx>
          <c:spPr>
            <a:ln w="28575">
              <a:noFill/>
            </a:ln>
          </c:spPr>
          <c:yVal>
            <c:numRef>
              <c:f>Uniform_0!$D$2:$D$331</c:f>
              <c:numCache>
                <c:formatCode>General</c:formatCode>
                <c:ptCount val="330"/>
                <c:pt idx="0">
                  <c:v>2.5945945945945947</c:v>
                </c:pt>
                <c:pt idx="1">
                  <c:v>2.5945945945945947</c:v>
                </c:pt>
                <c:pt idx="2">
                  <c:v>2.5945945945945947</c:v>
                </c:pt>
                <c:pt idx="3">
                  <c:v>2.5945945945945947</c:v>
                </c:pt>
                <c:pt idx="4">
                  <c:v>2.5945945945945947</c:v>
                </c:pt>
                <c:pt idx="5">
                  <c:v>2.5945945945945947</c:v>
                </c:pt>
                <c:pt idx="6">
                  <c:v>1.9459459459459461</c:v>
                </c:pt>
                <c:pt idx="7">
                  <c:v>1.9459459459459461</c:v>
                </c:pt>
                <c:pt idx="8">
                  <c:v>1.9459459459459461</c:v>
                </c:pt>
                <c:pt idx="9">
                  <c:v>1.9459459459459461</c:v>
                </c:pt>
                <c:pt idx="10">
                  <c:v>1.9459459459459461</c:v>
                </c:pt>
                <c:pt idx="11">
                  <c:v>1.9459459459459461</c:v>
                </c:pt>
                <c:pt idx="12">
                  <c:v>1.9459459459459461</c:v>
                </c:pt>
                <c:pt idx="13">
                  <c:v>1.9459459459459461</c:v>
                </c:pt>
                <c:pt idx="14">
                  <c:v>1.9459459459459461</c:v>
                </c:pt>
                <c:pt idx="15">
                  <c:v>1.9459459459459461</c:v>
                </c:pt>
                <c:pt idx="16">
                  <c:v>1.9459459459459461</c:v>
                </c:pt>
                <c:pt idx="17">
                  <c:v>1.9459459459459461</c:v>
                </c:pt>
                <c:pt idx="18">
                  <c:v>1.6216216216216217</c:v>
                </c:pt>
                <c:pt idx="19">
                  <c:v>1.6216216216216217</c:v>
                </c:pt>
                <c:pt idx="20">
                  <c:v>1.6216216216216217</c:v>
                </c:pt>
                <c:pt idx="21">
                  <c:v>1.6216216216216217</c:v>
                </c:pt>
                <c:pt idx="22">
                  <c:v>1.6216216216216217</c:v>
                </c:pt>
                <c:pt idx="23">
                  <c:v>1.6216216216216217</c:v>
                </c:pt>
                <c:pt idx="24">
                  <c:v>1.6216216216216217</c:v>
                </c:pt>
                <c:pt idx="25">
                  <c:v>2.5945945945945947</c:v>
                </c:pt>
                <c:pt idx="26">
                  <c:v>2.5945945945945947</c:v>
                </c:pt>
                <c:pt idx="27">
                  <c:v>2.5945945945945947</c:v>
                </c:pt>
                <c:pt idx="28">
                  <c:v>2.5945945945945947</c:v>
                </c:pt>
                <c:pt idx="29">
                  <c:v>2.5945945945945947</c:v>
                </c:pt>
                <c:pt idx="30">
                  <c:v>2.5945945945945947</c:v>
                </c:pt>
                <c:pt idx="31">
                  <c:v>2.5945945945945947</c:v>
                </c:pt>
                <c:pt idx="32">
                  <c:v>2.5945945945945947</c:v>
                </c:pt>
                <c:pt idx="33">
                  <c:v>3.2432432432432434</c:v>
                </c:pt>
                <c:pt idx="34">
                  <c:v>3.2432432432432434</c:v>
                </c:pt>
                <c:pt idx="35">
                  <c:v>3.2432432432432434</c:v>
                </c:pt>
                <c:pt idx="36">
                  <c:v>3.2432432432432434</c:v>
                </c:pt>
                <c:pt idx="37">
                  <c:v>3.2432432432432434</c:v>
                </c:pt>
                <c:pt idx="38">
                  <c:v>3.2432432432432434</c:v>
                </c:pt>
                <c:pt idx="39">
                  <c:v>3.2432432432432434</c:v>
                </c:pt>
                <c:pt idx="40">
                  <c:v>3.2432432432432434</c:v>
                </c:pt>
                <c:pt idx="41">
                  <c:v>3.2432432432432434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09984"/>
        <c:axId val="154424064"/>
      </c:scatterChart>
      <c:valAx>
        <c:axId val="154409984"/>
        <c:scaling>
          <c:orientation val="minMax"/>
          <c:max val="50"/>
        </c:scaling>
        <c:delete val="0"/>
        <c:axPos val="b"/>
        <c:majorTickMark val="out"/>
        <c:minorTickMark val="none"/>
        <c:tickLblPos val="nextTo"/>
        <c:crossAx val="154424064"/>
        <c:crosses val="autoZero"/>
        <c:crossBetween val="midCat"/>
      </c:valAx>
      <c:valAx>
        <c:axId val="154424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4099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table_paper!$J$1</c:f>
              <c:strCache>
                <c:ptCount val="1"/>
                <c:pt idx="0">
                  <c:v>d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table_paper!$J$2:$J$87</c:f>
              <c:numCache>
                <c:formatCode>0.0</c:formatCode>
                <c:ptCount val="86"/>
                <c:pt idx="0">
                  <c:v>3.188976377952756</c:v>
                </c:pt>
                <c:pt idx="1">
                  <c:v>3.188976377952756</c:v>
                </c:pt>
                <c:pt idx="2">
                  <c:v>3.188976377952756</c:v>
                </c:pt>
                <c:pt idx="3">
                  <c:v>4.9606299212598426</c:v>
                </c:pt>
                <c:pt idx="4">
                  <c:v>4.9606299212598426</c:v>
                </c:pt>
                <c:pt idx="5">
                  <c:v>4.9606299212598426</c:v>
                </c:pt>
                <c:pt idx="6">
                  <c:v>5.4724409448818898</c:v>
                </c:pt>
                <c:pt idx="7">
                  <c:v>5.4724409448818898</c:v>
                </c:pt>
                <c:pt idx="8">
                  <c:v>5.4724409448818898</c:v>
                </c:pt>
                <c:pt idx="9">
                  <c:v>6.4173228346456694</c:v>
                </c:pt>
                <c:pt idx="10">
                  <c:v>6.4173228346456694</c:v>
                </c:pt>
                <c:pt idx="11">
                  <c:v>6.4173228346456694</c:v>
                </c:pt>
                <c:pt idx="12">
                  <c:v>8.2677165354330722</c:v>
                </c:pt>
                <c:pt idx="13">
                  <c:v>8.2677165354330722</c:v>
                </c:pt>
                <c:pt idx="14">
                  <c:v>8.2677165354330722</c:v>
                </c:pt>
                <c:pt idx="15">
                  <c:v>12.086614173228346</c:v>
                </c:pt>
                <c:pt idx="16">
                  <c:v>12.086614173228346</c:v>
                </c:pt>
                <c:pt idx="17">
                  <c:v>26.25</c:v>
                </c:pt>
                <c:pt idx="18">
                  <c:v>26.25</c:v>
                </c:pt>
                <c:pt idx="19">
                  <c:v>10.5</c:v>
                </c:pt>
                <c:pt idx="20">
                  <c:v>10.5</c:v>
                </c:pt>
                <c:pt idx="21">
                  <c:v>10.5</c:v>
                </c:pt>
                <c:pt idx="22">
                  <c:v>10.5</c:v>
                </c:pt>
                <c:pt idx="23">
                  <c:v>10.5</c:v>
                </c:pt>
                <c:pt idx="24">
                  <c:v>10.5</c:v>
                </c:pt>
                <c:pt idx="25" formatCode="General">
                  <c:v>9.1338582677165352</c:v>
                </c:pt>
                <c:pt idx="26" formatCode="General">
                  <c:v>20.866141732283467</c:v>
                </c:pt>
                <c:pt idx="27" formatCode="General">
                  <c:v>26.811023622047244</c:v>
                </c:pt>
                <c:pt idx="28" formatCode="General">
                  <c:v>32.362204724409452</c:v>
                </c:pt>
                <c:pt idx="29" formatCode="General">
                  <c:v>9.1732283464566926</c:v>
                </c:pt>
                <c:pt idx="30" formatCode="General">
                  <c:v>20.826771653543307</c:v>
                </c:pt>
                <c:pt idx="31" formatCode="General">
                  <c:v>26.929133858267718</c:v>
                </c:pt>
                <c:pt idx="32" formatCode="General">
                  <c:v>32.362204724409452</c:v>
                </c:pt>
                <c:pt idx="33">
                  <c:v>26.375</c:v>
                </c:pt>
                <c:pt idx="34">
                  <c:v>26.4375</c:v>
                </c:pt>
                <c:pt idx="35">
                  <c:v>10.75</c:v>
                </c:pt>
                <c:pt idx="36">
                  <c:v>10.75</c:v>
                </c:pt>
                <c:pt idx="37">
                  <c:v>10.6875</c:v>
                </c:pt>
                <c:pt idx="38">
                  <c:v>10.6875</c:v>
                </c:pt>
                <c:pt idx="39">
                  <c:v>26.375</c:v>
                </c:pt>
                <c:pt idx="40">
                  <c:v>26.4375</c:v>
                </c:pt>
                <c:pt idx="41">
                  <c:v>10.625</c:v>
                </c:pt>
                <c:pt idx="42">
                  <c:v>10.625</c:v>
                </c:pt>
                <c:pt idx="43">
                  <c:v>36.062992125984252</c:v>
                </c:pt>
                <c:pt idx="44">
                  <c:v>17.204724409448819</c:v>
                </c:pt>
                <c:pt idx="45">
                  <c:v>17.204724409448819</c:v>
                </c:pt>
                <c:pt idx="46">
                  <c:v>17.283464566929133</c:v>
                </c:pt>
                <c:pt idx="47">
                  <c:v>17.244094488188978</c:v>
                </c:pt>
                <c:pt idx="48">
                  <c:v>17.322834645669293</c:v>
                </c:pt>
                <c:pt idx="49">
                  <c:v>12.086614173228346</c:v>
                </c:pt>
                <c:pt idx="50">
                  <c:v>12.047244094488189</c:v>
                </c:pt>
                <c:pt idx="51">
                  <c:v>12.047244094488189</c:v>
                </c:pt>
                <c:pt idx="52">
                  <c:v>12.047244094488189</c:v>
                </c:pt>
                <c:pt idx="53">
                  <c:v>55.118110236220474</c:v>
                </c:pt>
                <c:pt idx="54">
                  <c:v>55.118110236220474</c:v>
                </c:pt>
                <c:pt idx="55">
                  <c:v>55.118110236220474</c:v>
                </c:pt>
                <c:pt idx="56">
                  <c:v>55.118110236220474</c:v>
                </c:pt>
                <c:pt idx="57">
                  <c:v>55.118110236220474</c:v>
                </c:pt>
                <c:pt idx="58">
                  <c:v>55.118110236220474</c:v>
                </c:pt>
                <c:pt idx="59">
                  <c:v>55.118110236220474</c:v>
                </c:pt>
                <c:pt idx="60">
                  <c:v>55.118110236220474</c:v>
                </c:pt>
                <c:pt idx="61">
                  <c:v>11.023622047244094</c:v>
                </c:pt>
                <c:pt idx="62">
                  <c:v>11.023622047244094</c:v>
                </c:pt>
                <c:pt idx="63">
                  <c:v>11.023622047244094</c:v>
                </c:pt>
                <c:pt idx="64">
                  <c:v>11.023622047244094</c:v>
                </c:pt>
                <c:pt idx="65">
                  <c:v>11.023622047244094</c:v>
                </c:pt>
                <c:pt idx="66">
                  <c:v>11.023622047244094</c:v>
                </c:pt>
                <c:pt idx="67">
                  <c:v>11.023622047244094</c:v>
                </c:pt>
                <c:pt idx="68">
                  <c:v>11.023622047244094</c:v>
                </c:pt>
                <c:pt idx="69">
                  <c:v>11.023622047244094</c:v>
                </c:pt>
                <c:pt idx="70">
                  <c:v>11.023622047244094</c:v>
                </c:pt>
                <c:pt idx="71">
                  <c:v>11.023622047244094</c:v>
                </c:pt>
                <c:pt idx="72">
                  <c:v>57.086614173228348</c:v>
                </c:pt>
                <c:pt idx="73">
                  <c:v>151.18110236220474</c:v>
                </c:pt>
                <c:pt idx="74">
                  <c:v>74.409448818897644</c:v>
                </c:pt>
                <c:pt idx="75">
                  <c:v>75.629921259842519</c:v>
                </c:pt>
                <c:pt idx="76">
                  <c:v>75.629921259842519</c:v>
                </c:pt>
                <c:pt idx="77" formatCode="General">
                  <c:v>36.417322834645674</c:v>
                </c:pt>
                <c:pt idx="78" formatCode="General">
                  <c:v>36.417322834645674</c:v>
                </c:pt>
                <c:pt idx="79" formatCode="General">
                  <c:v>36.417322834645674</c:v>
                </c:pt>
                <c:pt idx="80" formatCode="General">
                  <c:v>36.417322834645674</c:v>
                </c:pt>
                <c:pt idx="81" formatCode="General">
                  <c:v>36.417322834645674</c:v>
                </c:pt>
                <c:pt idx="82" formatCode="General">
                  <c:v>36.417322834645674</c:v>
                </c:pt>
                <c:pt idx="83" formatCode="General">
                  <c:v>11.811023622047244</c:v>
                </c:pt>
                <c:pt idx="84" formatCode="General">
                  <c:v>11.811023622047244</c:v>
                </c:pt>
                <c:pt idx="85" formatCode="General">
                  <c:v>11.811023622047244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12224"/>
        <c:axId val="154213760"/>
      </c:scatterChart>
      <c:valAx>
        <c:axId val="154212224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54213760"/>
        <c:crosses val="autoZero"/>
        <c:crossBetween val="midCat"/>
      </c:valAx>
      <c:valAx>
        <c:axId val="15421376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421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table_paper!$I$1</c:f>
              <c:strCache>
                <c:ptCount val="1"/>
                <c:pt idx="0">
                  <c:v>a/d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table_paper!$I$2:$I$87</c:f>
              <c:numCache>
                <c:formatCode>0.0</c:formatCode>
                <c:ptCount val="86"/>
                <c:pt idx="0">
                  <c:v>4.8099999999999996</c:v>
                </c:pt>
                <c:pt idx="1">
                  <c:v>4.8099999999999996</c:v>
                </c:pt>
                <c:pt idx="2">
                  <c:v>4.8099999999999996</c:v>
                </c:pt>
                <c:pt idx="3">
                  <c:v>3.68</c:v>
                </c:pt>
                <c:pt idx="4">
                  <c:v>3.68</c:v>
                </c:pt>
                <c:pt idx="5">
                  <c:v>3.68</c:v>
                </c:pt>
                <c:pt idx="6">
                  <c:v>2.81</c:v>
                </c:pt>
                <c:pt idx="7">
                  <c:v>2.81</c:v>
                </c:pt>
                <c:pt idx="8">
                  <c:v>2.81</c:v>
                </c:pt>
                <c:pt idx="9">
                  <c:v>2.39</c:v>
                </c:pt>
                <c:pt idx="10">
                  <c:v>2.39</c:v>
                </c:pt>
                <c:pt idx="11">
                  <c:v>2.39</c:v>
                </c:pt>
                <c:pt idx="12">
                  <c:v>1.86</c:v>
                </c:pt>
                <c:pt idx="13">
                  <c:v>1.86</c:v>
                </c:pt>
                <c:pt idx="14">
                  <c:v>1.86</c:v>
                </c:pt>
                <c:pt idx="15">
                  <c:v>1.1399999999999999</c:v>
                </c:pt>
                <c:pt idx="16">
                  <c:v>1.1399999999999999</c:v>
                </c:pt>
                <c:pt idx="17">
                  <c:v>2.2799999999999998</c:v>
                </c:pt>
                <c:pt idx="18">
                  <c:v>2.2799999999999998</c:v>
                </c:pt>
                <c:pt idx="19">
                  <c:v>2.2799999999999998</c:v>
                </c:pt>
                <c:pt idx="20">
                  <c:v>2.2799999999999998</c:v>
                </c:pt>
                <c:pt idx="21">
                  <c:v>2.2799999999999998</c:v>
                </c:pt>
                <c:pt idx="22">
                  <c:v>2.2799999999999998</c:v>
                </c:pt>
                <c:pt idx="23">
                  <c:v>2.2799999999999998</c:v>
                </c:pt>
                <c:pt idx="24">
                  <c:v>2.2799999999999998</c:v>
                </c:pt>
                <c:pt idx="25" formatCode="General">
                  <c:v>3.01</c:v>
                </c:pt>
                <c:pt idx="26" formatCode="General">
                  <c:v>2.98</c:v>
                </c:pt>
                <c:pt idx="27" formatCode="General">
                  <c:v>2.98</c:v>
                </c:pt>
                <c:pt idx="28" formatCode="General">
                  <c:v>3</c:v>
                </c:pt>
                <c:pt idx="29" formatCode="General">
                  <c:v>2.99</c:v>
                </c:pt>
                <c:pt idx="30" formatCode="General">
                  <c:v>2.99</c:v>
                </c:pt>
                <c:pt idx="31" formatCode="General">
                  <c:v>2.97</c:v>
                </c:pt>
                <c:pt idx="32" formatCode="General">
                  <c:v>3</c:v>
                </c:pt>
                <c:pt idx="33">
                  <c:v>2.2799999999999998</c:v>
                </c:pt>
                <c:pt idx="34">
                  <c:v>2.2799999999999998</c:v>
                </c:pt>
                <c:pt idx="35">
                  <c:v>2.2799999999999998</c:v>
                </c:pt>
                <c:pt idx="36">
                  <c:v>2.2799999999999998</c:v>
                </c:pt>
                <c:pt idx="37">
                  <c:v>2.2799999999999998</c:v>
                </c:pt>
                <c:pt idx="38">
                  <c:v>2.2799999999999998</c:v>
                </c:pt>
                <c:pt idx="39">
                  <c:v>2.85</c:v>
                </c:pt>
                <c:pt idx="40">
                  <c:v>2.85</c:v>
                </c:pt>
                <c:pt idx="41">
                  <c:v>2.85</c:v>
                </c:pt>
                <c:pt idx="42">
                  <c:v>2.85</c:v>
                </c:pt>
                <c:pt idx="43">
                  <c:v>2.95</c:v>
                </c:pt>
                <c:pt idx="44">
                  <c:v>2.95</c:v>
                </c:pt>
                <c:pt idx="45">
                  <c:v>2.95</c:v>
                </c:pt>
                <c:pt idx="46">
                  <c:v>2.95</c:v>
                </c:pt>
                <c:pt idx="47">
                  <c:v>2.95</c:v>
                </c:pt>
                <c:pt idx="48">
                  <c:v>2.95</c:v>
                </c:pt>
                <c:pt idx="49">
                  <c:v>3.39</c:v>
                </c:pt>
                <c:pt idx="50">
                  <c:v>3.39</c:v>
                </c:pt>
                <c:pt idx="51">
                  <c:v>3.39</c:v>
                </c:pt>
                <c:pt idx="52">
                  <c:v>3.39</c:v>
                </c:pt>
                <c:pt idx="53">
                  <c:v>2.89</c:v>
                </c:pt>
                <c:pt idx="54">
                  <c:v>2.89</c:v>
                </c:pt>
                <c:pt idx="55">
                  <c:v>2.89</c:v>
                </c:pt>
                <c:pt idx="56">
                  <c:v>2.89</c:v>
                </c:pt>
                <c:pt idx="57">
                  <c:v>2.89</c:v>
                </c:pt>
                <c:pt idx="58">
                  <c:v>2.89</c:v>
                </c:pt>
                <c:pt idx="59">
                  <c:v>2.89</c:v>
                </c:pt>
                <c:pt idx="60">
                  <c:v>2.89</c:v>
                </c:pt>
                <c:pt idx="61">
                  <c:v>2.89</c:v>
                </c:pt>
                <c:pt idx="62">
                  <c:v>2.89</c:v>
                </c:pt>
                <c:pt idx="63">
                  <c:v>2.89</c:v>
                </c:pt>
                <c:pt idx="64">
                  <c:v>2.89</c:v>
                </c:pt>
                <c:pt idx="65">
                  <c:v>2.89</c:v>
                </c:pt>
                <c:pt idx="66">
                  <c:v>2.89</c:v>
                </c:pt>
                <c:pt idx="67">
                  <c:v>2.89</c:v>
                </c:pt>
                <c:pt idx="68">
                  <c:v>2.89</c:v>
                </c:pt>
                <c:pt idx="69">
                  <c:v>2.94</c:v>
                </c:pt>
                <c:pt idx="70">
                  <c:v>2.89</c:v>
                </c:pt>
                <c:pt idx="71" formatCode="0.00">
                  <c:v>2.89</c:v>
                </c:pt>
                <c:pt idx="72" formatCode="0.00">
                  <c:v>2.79</c:v>
                </c:pt>
                <c:pt idx="73">
                  <c:v>3.1</c:v>
                </c:pt>
                <c:pt idx="74">
                  <c:v>2.86</c:v>
                </c:pt>
                <c:pt idx="75">
                  <c:v>2.81</c:v>
                </c:pt>
                <c:pt idx="76">
                  <c:v>2.92</c:v>
                </c:pt>
                <c:pt idx="77" formatCode="General">
                  <c:v>2.5945945945945943</c:v>
                </c:pt>
                <c:pt idx="78" formatCode="General">
                  <c:v>1.9459459459459458</c:v>
                </c:pt>
                <c:pt idx="79" formatCode="General">
                  <c:v>1.9459459459459458</c:v>
                </c:pt>
                <c:pt idx="80" formatCode="General">
                  <c:v>1.9459459459459458</c:v>
                </c:pt>
                <c:pt idx="81" formatCode="General">
                  <c:v>2.5945945945945943</c:v>
                </c:pt>
                <c:pt idx="82" formatCode="General">
                  <c:v>3.243243243243243</c:v>
                </c:pt>
                <c:pt idx="83" formatCode="General">
                  <c:v>5</c:v>
                </c:pt>
                <c:pt idx="84" formatCode="General">
                  <c:v>5</c:v>
                </c:pt>
                <c:pt idx="85" formatCode="General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38336"/>
        <c:axId val="154240128"/>
      </c:scatterChart>
      <c:valAx>
        <c:axId val="154238336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54240128"/>
        <c:crosses val="autoZero"/>
        <c:crossBetween val="midCat"/>
      </c:valAx>
      <c:valAx>
        <c:axId val="154240128"/>
        <c:scaling>
          <c:orientation val="minMax"/>
        </c:scaling>
        <c:delete val="0"/>
        <c:axPos val="l"/>
        <c:majorGridlines/>
        <c:minorGridlines/>
        <c:numFmt formatCode="0.0" sourceLinked="1"/>
        <c:majorTickMark val="out"/>
        <c:minorTickMark val="none"/>
        <c:tickLblPos val="nextTo"/>
        <c:crossAx val="154238336"/>
        <c:crosses val="autoZero"/>
        <c:crossBetween val="midCat"/>
        <c:majorUnit val="0.5"/>
        <c:min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table_paper!$G$1</c:f>
              <c:strCache>
                <c:ptCount val="1"/>
                <c:pt idx="0">
                  <c:v>Width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table_paper!$G$2:$G$87</c:f>
              <c:numCache>
                <c:formatCode>0.0</c:formatCode>
                <c:ptCount val="86"/>
                <c:pt idx="0">
                  <c:v>7.87</c:v>
                </c:pt>
                <c:pt idx="1">
                  <c:v>7.87</c:v>
                </c:pt>
                <c:pt idx="2">
                  <c:v>7.87</c:v>
                </c:pt>
                <c:pt idx="3">
                  <c:v>7.87</c:v>
                </c:pt>
                <c:pt idx="4">
                  <c:v>7.87</c:v>
                </c:pt>
                <c:pt idx="5">
                  <c:v>7.87</c:v>
                </c:pt>
                <c:pt idx="6">
                  <c:v>7.87</c:v>
                </c:pt>
                <c:pt idx="7">
                  <c:v>7.87</c:v>
                </c:pt>
                <c:pt idx="8">
                  <c:v>7.87</c:v>
                </c:pt>
                <c:pt idx="9">
                  <c:v>7.87</c:v>
                </c:pt>
                <c:pt idx="10">
                  <c:v>7.87</c:v>
                </c:pt>
                <c:pt idx="11">
                  <c:v>7.87</c:v>
                </c:pt>
                <c:pt idx="12">
                  <c:v>7.87</c:v>
                </c:pt>
                <c:pt idx="13">
                  <c:v>7.87</c:v>
                </c:pt>
                <c:pt idx="14">
                  <c:v>7.87</c:v>
                </c:pt>
                <c:pt idx="15">
                  <c:v>7.87</c:v>
                </c:pt>
                <c:pt idx="16">
                  <c:v>7.87</c:v>
                </c:pt>
                <c:pt idx="17">
                  <c:v>22.5</c:v>
                </c:pt>
                <c:pt idx="18">
                  <c:v>22.5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 formatCode="General">
                  <c:v>12</c:v>
                </c:pt>
                <c:pt idx="26" formatCode="General">
                  <c:v>12</c:v>
                </c:pt>
                <c:pt idx="27" formatCode="General">
                  <c:v>12</c:v>
                </c:pt>
                <c:pt idx="28" formatCode="General">
                  <c:v>12</c:v>
                </c:pt>
                <c:pt idx="29" formatCode="General">
                  <c:v>8</c:v>
                </c:pt>
                <c:pt idx="30" formatCode="General">
                  <c:v>16</c:v>
                </c:pt>
                <c:pt idx="31" formatCode="General">
                  <c:v>20</c:v>
                </c:pt>
                <c:pt idx="32" formatCode="General">
                  <c:v>24</c:v>
                </c:pt>
                <c:pt idx="33">
                  <c:v>22.56</c:v>
                </c:pt>
                <c:pt idx="34">
                  <c:v>22.56</c:v>
                </c:pt>
                <c:pt idx="35">
                  <c:v>9.0625</c:v>
                </c:pt>
                <c:pt idx="36">
                  <c:v>9</c:v>
                </c:pt>
                <c:pt idx="37">
                  <c:v>9.1</c:v>
                </c:pt>
                <c:pt idx="38">
                  <c:v>9</c:v>
                </c:pt>
                <c:pt idx="39" formatCode="General">
                  <c:v>22.5</c:v>
                </c:pt>
                <c:pt idx="40">
                  <c:v>22.5</c:v>
                </c:pt>
                <c:pt idx="41">
                  <c:v>9.1</c:v>
                </c:pt>
                <c:pt idx="42">
                  <c:v>9</c:v>
                </c:pt>
                <c:pt idx="43">
                  <c:v>79.370078740157481</c:v>
                </c:pt>
                <c:pt idx="44">
                  <c:v>9.8425196850393704</c:v>
                </c:pt>
                <c:pt idx="45">
                  <c:v>9.8425196850393704</c:v>
                </c:pt>
                <c:pt idx="46">
                  <c:v>39.4488188976378</c:v>
                </c:pt>
                <c:pt idx="47">
                  <c:v>39.4488188976378</c:v>
                </c:pt>
                <c:pt idx="48">
                  <c:v>118.30708661417323</c:v>
                </c:pt>
                <c:pt idx="49">
                  <c:v>27.440944881889767</c:v>
                </c:pt>
                <c:pt idx="50">
                  <c:v>27.559055118110237</c:v>
                </c:pt>
                <c:pt idx="51">
                  <c:v>27.795275590551181</c:v>
                </c:pt>
                <c:pt idx="52">
                  <c:v>27.795275590551181</c:v>
                </c:pt>
                <c:pt idx="53" formatCode="General">
                  <c:v>11.811023622047244</c:v>
                </c:pt>
                <c:pt idx="54">
                  <c:v>11.811023622047244</c:v>
                </c:pt>
                <c:pt idx="55">
                  <c:v>11.811023622047244</c:v>
                </c:pt>
                <c:pt idx="56">
                  <c:v>11.811023622047244</c:v>
                </c:pt>
                <c:pt idx="57">
                  <c:v>11.811023622047244</c:v>
                </c:pt>
                <c:pt idx="58">
                  <c:v>11.811023622047244</c:v>
                </c:pt>
                <c:pt idx="59">
                  <c:v>11.811023622047244</c:v>
                </c:pt>
                <c:pt idx="60">
                  <c:v>11.811023622047244</c:v>
                </c:pt>
                <c:pt idx="61">
                  <c:v>4.8031496062992129</c:v>
                </c:pt>
                <c:pt idx="62">
                  <c:v>4.8031496062992129</c:v>
                </c:pt>
                <c:pt idx="63">
                  <c:v>4.8031496062992129</c:v>
                </c:pt>
                <c:pt idx="64">
                  <c:v>4.8031496062992129</c:v>
                </c:pt>
                <c:pt idx="65">
                  <c:v>4.8031496062992129</c:v>
                </c:pt>
                <c:pt idx="66">
                  <c:v>4.8031496062992129</c:v>
                </c:pt>
                <c:pt idx="67">
                  <c:v>4.8031496062992129</c:v>
                </c:pt>
                <c:pt idx="68">
                  <c:v>4.8031496062992129</c:v>
                </c:pt>
                <c:pt idx="69">
                  <c:v>4.8031496062992129</c:v>
                </c:pt>
                <c:pt idx="70">
                  <c:v>4.8031496062992129</c:v>
                </c:pt>
                <c:pt idx="71">
                  <c:v>4.8031496062992129</c:v>
                </c:pt>
                <c:pt idx="72">
                  <c:v>11.614173228346457</c:v>
                </c:pt>
                <c:pt idx="73">
                  <c:v>9.8425196850393704</c:v>
                </c:pt>
                <c:pt idx="74">
                  <c:v>11.811023622047244</c:v>
                </c:pt>
                <c:pt idx="75">
                  <c:v>11.811023622047244</c:v>
                </c:pt>
                <c:pt idx="76">
                  <c:v>11.811023622047244</c:v>
                </c:pt>
                <c:pt idx="77" formatCode="General">
                  <c:v>11.811023622047244</c:v>
                </c:pt>
                <c:pt idx="78" formatCode="General">
                  <c:v>11.811023622047244</c:v>
                </c:pt>
                <c:pt idx="79" formatCode="General">
                  <c:v>11.811023622047244</c:v>
                </c:pt>
                <c:pt idx="80" formatCode="General">
                  <c:v>11.811023622047244</c:v>
                </c:pt>
                <c:pt idx="81" formatCode="General">
                  <c:v>11.811023622047244</c:v>
                </c:pt>
                <c:pt idx="82" formatCode="General">
                  <c:v>11.811023622047244</c:v>
                </c:pt>
                <c:pt idx="83" formatCode="General">
                  <c:v>7.8740157480314963</c:v>
                </c:pt>
                <c:pt idx="84" formatCode="General">
                  <c:v>7.8740157480314963</c:v>
                </c:pt>
                <c:pt idx="85" formatCode="General">
                  <c:v>7.8740157480314963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68800"/>
        <c:axId val="154270336"/>
      </c:scatterChart>
      <c:valAx>
        <c:axId val="154268800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54270336"/>
        <c:crosses val="autoZero"/>
        <c:crossBetween val="midCat"/>
      </c:valAx>
      <c:valAx>
        <c:axId val="154270336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4268800"/>
        <c:crosses val="autoZero"/>
        <c:crossBetween val="midCat"/>
        <c:majorUnit val="10"/>
        <c:minorUnit val="4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table_paper!$M$1</c:f>
              <c:strCache>
                <c:ptCount val="1"/>
                <c:pt idx="0">
                  <c:v>a (in)</c:v>
                </c:pt>
              </c:strCache>
            </c:strRef>
          </c:tx>
          <c:spPr>
            <a:ln w="28575">
              <a:noFill/>
            </a:ln>
          </c:spPr>
          <c:yVal>
            <c:numRef>
              <c:f>table_paper!$M$2:$M$92</c:f>
              <c:numCache>
                <c:formatCode>0.0</c:formatCode>
                <c:ptCount val="91"/>
                <c:pt idx="0">
                  <c:v>15.338976377952756</c:v>
                </c:pt>
                <c:pt idx="1">
                  <c:v>15.338976377952756</c:v>
                </c:pt>
                <c:pt idx="2">
                  <c:v>15.338976377952756</c:v>
                </c:pt>
                <c:pt idx="3">
                  <c:v>18.255118110236221</c:v>
                </c:pt>
                <c:pt idx="4">
                  <c:v>18.255118110236221</c:v>
                </c:pt>
                <c:pt idx="5">
                  <c:v>18.255118110236221</c:v>
                </c:pt>
                <c:pt idx="6">
                  <c:v>15.377559055118111</c:v>
                </c:pt>
                <c:pt idx="7">
                  <c:v>15.377559055118111</c:v>
                </c:pt>
                <c:pt idx="8">
                  <c:v>15.377559055118111</c:v>
                </c:pt>
                <c:pt idx="9">
                  <c:v>15.337401574803151</c:v>
                </c:pt>
                <c:pt idx="10">
                  <c:v>15.337401574803151</c:v>
                </c:pt>
                <c:pt idx="11">
                  <c:v>15.337401574803151</c:v>
                </c:pt>
                <c:pt idx="12">
                  <c:v>15.377952755905515</c:v>
                </c:pt>
                <c:pt idx="13">
                  <c:v>15.377952755905515</c:v>
                </c:pt>
                <c:pt idx="14">
                  <c:v>15.377952755905515</c:v>
                </c:pt>
                <c:pt idx="15">
                  <c:v>13.778740157480314</c:v>
                </c:pt>
                <c:pt idx="16">
                  <c:v>13.778740157480314</c:v>
                </c:pt>
                <c:pt idx="17">
                  <c:v>59.849999999999994</c:v>
                </c:pt>
                <c:pt idx="18">
                  <c:v>59.849999999999994</c:v>
                </c:pt>
                <c:pt idx="19">
                  <c:v>23.939999999999998</c:v>
                </c:pt>
                <c:pt idx="20">
                  <c:v>23.939999999999998</c:v>
                </c:pt>
                <c:pt idx="21">
                  <c:v>23.939999999999998</c:v>
                </c:pt>
                <c:pt idx="22">
                  <c:v>23.939999999999998</c:v>
                </c:pt>
                <c:pt idx="23">
                  <c:v>23.939999999999998</c:v>
                </c:pt>
                <c:pt idx="24">
                  <c:v>23.939999999999998</c:v>
                </c:pt>
                <c:pt idx="25">
                  <c:v>27.492913385826768</c:v>
                </c:pt>
                <c:pt idx="26">
                  <c:v>62.181102362204733</c:v>
                </c:pt>
                <c:pt idx="27">
                  <c:v>79.896850393700788</c:v>
                </c:pt>
                <c:pt idx="28">
                  <c:v>97.086614173228355</c:v>
                </c:pt>
                <c:pt idx="29">
                  <c:v>27.427952755905512</c:v>
                </c:pt>
                <c:pt idx="30">
                  <c:v>62.272047244094495</c:v>
                </c:pt>
                <c:pt idx="31">
                  <c:v>79.979527559055128</c:v>
                </c:pt>
                <c:pt idx="32">
                  <c:v>97.086614173228355</c:v>
                </c:pt>
                <c:pt idx="33">
                  <c:v>60.134999999999998</c:v>
                </c:pt>
                <c:pt idx="34">
                  <c:v>60.277499999999996</c:v>
                </c:pt>
                <c:pt idx="35">
                  <c:v>24.509999999999998</c:v>
                </c:pt>
                <c:pt idx="36">
                  <c:v>24.509999999999998</c:v>
                </c:pt>
                <c:pt idx="37">
                  <c:v>24.367499999999996</c:v>
                </c:pt>
                <c:pt idx="38">
                  <c:v>24.367499999999996</c:v>
                </c:pt>
                <c:pt idx="39">
                  <c:v>75.168750000000003</c:v>
                </c:pt>
                <c:pt idx="40">
                  <c:v>75.346874999999997</c:v>
                </c:pt>
                <c:pt idx="41">
                  <c:v>30.28125</c:v>
                </c:pt>
                <c:pt idx="42">
                  <c:v>30.28125</c:v>
                </c:pt>
                <c:pt idx="43">
                  <c:v>106.38582677165356</c:v>
                </c:pt>
                <c:pt idx="44">
                  <c:v>50.753937007874015</c:v>
                </c:pt>
                <c:pt idx="45">
                  <c:v>50.753937007874015</c:v>
                </c:pt>
                <c:pt idx="46">
                  <c:v>50.986220472440948</c:v>
                </c:pt>
                <c:pt idx="47">
                  <c:v>50.870078740157489</c:v>
                </c:pt>
                <c:pt idx="48">
                  <c:v>51.102362204724415</c:v>
                </c:pt>
                <c:pt idx="49">
                  <c:v>40.973622047244092</c:v>
                </c:pt>
                <c:pt idx="50">
                  <c:v>40.840157480314964</c:v>
                </c:pt>
                <c:pt idx="51">
                  <c:v>40.840157480314964</c:v>
                </c:pt>
                <c:pt idx="52">
                  <c:v>40.840157480314964</c:v>
                </c:pt>
                <c:pt idx="53">
                  <c:v>159.29133858267718</c:v>
                </c:pt>
                <c:pt idx="54">
                  <c:v>159.29133858267718</c:v>
                </c:pt>
                <c:pt idx="55">
                  <c:v>159.29133858267718</c:v>
                </c:pt>
                <c:pt idx="56">
                  <c:v>159.29133858267718</c:v>
                </c:pt>
                <c:pt idx="57">
                  <c:v>159.29133858267718</c:v>
                </c:pt>
                <c:pt idx="58">
                  <c:v>159.29133858267718</c:v>
                </c:pt>
                <c:pt idx="59">
                  <c:v>159.29133858267718</c:v>
                </c:pt>
                <c:pt idx="60">
                  <c:v>159.29133858267718</c:v>
                </c:pt>
                <c:pt idx="61">
                  <c:v>31.858267716535433</c:v>
                </c:pt>
                <c:pt idx="62">
                  <c:v>31.858267716535433</c:v>
                </c:pt>
                <c:pt idx="63">
                  <c:v>31.858267716535433</c:v>
                </c:pt>
                <c:pt idx="64">
                  <c:v>31.858267716535433</c:v>
                </c:pt>
                <c:pt idx="65">
                  <c:v>31.858267716535433</c:v>
                </c:pt>
                <c:pt idx="66">
                  <c:v>31.858267716535433</c:v>
                </c:pt>
                <c:pt idx="67">
                  <c:v>31.858267716535433</c:v>
                </c:pt>
                <c:pt idx="68">
                  <c:v>31.858267716535433</c:v>
                </c:pt>
                <c:pt idx="69">
                  <c:v>32.409448818897637</c:v>
                </c:pt>
                <c:pt idx="70">
                  <c:v>31.858267716535433</c:v>
                </c:pt>
                <c:pt idx="71">
                  <c:v>31.858267716535433</c:v>
                </c:pt>
                <c:pt idx="72">
                  <c:v>159.27165354330708</c:v>
                </c:pt>
                <c:pt idx="73">
                  <c:v>468.66141732283472</c:v>
                </c:pt>
                <c:pt idx="74">
                  <c:v>212.81102362204726</c:v>
                </c:pt>
                <c:pt idx="75">
                  <c:v>212.52007874015749</c:v>
                </c:pt>
                <c:pt idx="76">
                  <c:v>220.83937007874016</c:v>
                </c:pt>
                <c:pt idx="77">
                  <c:v>94.488188976377955</c:v>
                </c:pt>
                <c:pt idx="78">
                  <c:v>70.866141732283467</c:v>
                </c:pt>
                <c:pt idx="79">
                  <c:v>70.866141732283467</c:v>
                </c:pt>
                <c:pt idx="80">
                  <c:v>70.866141732283467</c:v>
                </c:pt>
                <c:pt idx="81">
                  <c:v>94.488188976377955</c:v>
                </c:pt>
                <c:pt idx="82">
                  <c:v>118.11023622047244</c:v>
                </c:pt>
                <c:pt idx="83">
                  <c:v>59.055118110236222</c:v>
                </c:pt>
                <c:pt idx="84">
                  <c:v>59.055118110236222</c:v>
                </c:pt>
                <c:pt idx="85">
                  <c:v>35.433070866141733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462848"/>
        <c:axId val="154464640"/>
      </c:scatterChart>
      <c:valAx>
        <c:axId val="154462848"/>
        <c:scaling>
          <c:orientation val="minMax"/>
          <c:max val="90"/>
        </c:scaling>
        <c:delete val="0"/>
        <c:axPos val="b"/>
        <c:majorTickMark val="out"/>
        <c:minorTickMark val="none"/>
        <c:tickLblPos val="nextTo"/>
        <c:crossAx val="154464640"/>
        <c:crosses val="autoZero"/>
        <c:crossBetween val="midCat"/>
      </c:valAx>
      <c:valAx>
        <c:axId val="15446464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1544628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6.1018179590145147E-2"/>
          <c:y val="5.1328607299082465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table_paper!$AC$1</c:f>
              <c:strCache>
                <c:ptCount val="1"/>
                <c:pt idx="0">
                  <c:v>a/d</c:v>
                </c:pt>
              </c:strCache>
            </c:strRef>
          </c:tx>
          <c:invertIfNegative val="0"/>
          <c:cat>
            <c:strRef>
              <c:f>table_paper!$AB$2:$AB$8</c:f>
              <c:strCache>
                <c:ptCount val="7"/>
                <c:pt idx="0">
                  <c:v>&lt;1.5</c:v>
                </c:pt>
                <c:pt idx="1">
                  <c:v>1.5-2</c:v>
                </c:pt>
                <c:pt idx="2">
                  <c:v>2-2.5</c:v>
                </c:pt>
                <c:pt idx="3">
                  <c:v>2.5-3</c:v>
                </c:pt>
                <c:pt idx="4">
                  <c:v>3-3.5</c:v>
                </c:pt>
                <c:pt idx="5">
                  <c:v>3.5-4</c:v>
                </c:pt>
                <c:pt idx="6">
                  <c:v>4-5</c:v>
                </c:pt>
              </c:strCache>
            </c:strRef>
          </c:cat>
          <c:val>
            <c:numRef>
              <c:f>table_paper!$AD$2:$AD$8</c:f>
              <c:numCache>
                <c:formatCode>General</c:formatCode>
                <c:ptCount val="7"/>
                <c:pt idx="0">
                  <c:v>2</c:v>
                </c:pt>
                <c:pt idx="1">
                  <c:v>6</c:v>
                </c:pt>
                <c:pt idx="2">
                  <c:v>17</c:v>
                </c:pt>
                <c:pt idx="3">
                  <c:v>46</c:v>
                </c:pt>
                <c:pt idx="4">
                  <c:v>7</c:v>
                </c:pt>
                <c:pt idx="5">
                  <c:v>3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382336"/>
        <c:axId val="154383872"/>
      </c:barChart>
      <c:catAx>
        <c:axId val="15438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4383872"/>
        <c:crosses val="autoZero"/>
        <c:auto val="1"/>
        <c:lblAlgn val="ctr"/>
        <c:lblOffset val="100"/>
        <c:noMultiLvlLbl val="0"/>
      </c:catAx>
      <c:valAx>
        <c:axId val="154383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4382336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1"/>
    </c:title>
    <c:autoTitleDeleted val="0"/>
    <c:plotArea>
      <c:layout>
        <c:manualLayout>
          <c:layoutTarget val="inner"/>
          <c:xMode val="edge"/>
          <c:yMode val="edge"/>
          <c:x val="4.5717638408798791E-2"/>
          <c:y val="1.945247343739176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table_paper!$AC$23</c:f>
              <c:strCache>
                <c:ptCount val="1"/>
                <c:pt idx="0">
                  <c:v>d (in)</c:v>
                </c:pt>
              </c:strCache>
            </c:strRef>
          </c:tx>
          <c:invertIfNegative val="0"/>
          <c:cat>
            <c:strRef>
              <c:f>table_paper!$AB$24:$AB$35</c:f>
              <c:strCache>
                <c:ptCount val="12"/>
                <c:pt idx="0">
                  <c:v>&lt;5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35-40</c:v>
                </c:pt>
                <c:pt idx="8">
                  <c:v>40-45</c:v>
                </c:pt>
                <c:pt idx="9">
                  <c:v>45-50</c:v>
                </c:pt>
                <c:pt idx="10">
                  <c:v>50-55</c:v>
                </c:pt>
                <c:pt idx="11">
                  <c:v>55-60</c:v>
                </c:pt>
              </c:strCache>
            </c:strRef>
          </c:cat>
          <c:val>
            <c:numRef>
              <c:f>table_paper!$AD$24:$AD$35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32</c:v>
                </c:pt>
                <c:pt idx="3">
                  <c:v>5</c:v>
                </c:pt>
                <c:pt idx="4">
                  <c:v>2</c:v>
                </c:pt>
                <c:pt idx="5">
                  <c:v>8</c:v>
                </c:pt>
                <c:pt idx="6">
                  <c:v>2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836864"/>
        <c:axId val="164838400"/>
      </c:barChart>
      <c:catAx>
        <c:axId val="164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838400"/>
        <c:crosses val="autoZero"/>
        <c:auto val="1"/>
        <c:lblAlgn val="ctr"/>
        <c:lblOffset val="100"/>
        <c:noMultiLvlLbl val="0"/>
      </c:catAx>
      <c:valAx>
        <c:axId val="164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836864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</c:title>
    <c:autoTitleDeleted val="0"/>
    <c:plotArea>
      <c:layout>
        <c:manualLayout>
          <c:layoutTarget val="inner"/>
          <c:xMode val="edge"/>
          <c:yMode val="edge"/>
          <c:x val="4.5717638408798791E-2"/>
          <c:y val="1.945247343739176E-2"/>
          <c:w val="0.91930969603383816"/>
          <c:h val="0.884754473451447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table_paper!$AC$45</c:f>
              <c:strCache>
                <c:ptCount val="1"/>
                <c:pt idx="0">
                  <c:v>Width (in)</c:v>
                </c:pt>
              </c:strCache>
            </c:strRef>
          </c:tx>
          <c:invertIfNegative val="0"/>
          <c:cat>
            <c:strRef>
              <c:f>table_paper!$AB$46:$AB$54</c:f>
              <c:strCache>
                <c:ptCount val="9"/>
                <c:pt idx="0">
                  <c:v>&lt;5</c:v>
                </c:pt>
                <c:pt idx="1">
                  <c:v>5-10</c:v>
                </c:pt>
                <c:pt idx="2">
                  <c:v>10-15</c:v>
                </c:pt>
                <c:pt idx="3">
                  <c:v>15-20</c:v>
                </c:pt>
                <c:pt idx="4">
                  <c:v>20-25</c:v>
                </c:pt>
                <c:pt idx="5">
                  <c:v>25-30</c:v>
                </c:pt>
                <c:pt idx="6">
                  <c:v>30-35</c:v>
                </c:pt>
                <c:pt idx="7">
                  <c:v>35-80</c:v>
                </c:pt>
                <c:pt idx="8">
                  <c:v>80-120</c:v>
                </c:pt>
              </c:strCache>
            </c:strRef>
          </c:cat>
          <c:val>
            <c:numRef>
              <c:f>table_paper!$AD$46:$AD$54</c:f>
              <c:numCache>
                <c:formatCode>General</c:formatCode>
                <c:ptCount val="9"/>
                <c:pt idx="0">
                  <c:v>11</c:v>
                </c:pt>
                <c:pt idx="1">
                  <c:v>36</c:v>
                </c:pt>
                <c:pt idx="2">
                  <c:v>22</c:v>
                </c:pt>
                <c:pt idx="3">
                  <c:v>2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878976"/>
        <c:axId val="164880768"/>
      </c:barChart>
      <c:catAx>
        <c:axId val="164878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4880768"/>
        <c:crosses val="autoZero"/>
        <c:auto val="1"/>
        <c:lblAlgn val="ctr"/>
        <c:lblOffset val="100"/>
        <c:noMultiLvlLbl val="0"/>
      </c:catAx>
      <c:valAx>
        <c:axId val="16488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4878976"/>
        <c:crosses val="autoZero"/>
        <c:crossBetween val="between"/>
      </c:valAx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4" Type="http://schemas.openxmlformats.org/officeDocument/2006/relationships/chart" Target="../charts/chart2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9.xml"/><Relationship Id="rId2" Type="http://schemas.openxmlformats.org/officeDocument/2006/relationships/chart" Target="../charts/chart28.xml"/><Relationship Id="rId1" Type="http://schemas.openxmlformats.org/officeDocument/2006/relationships/chart" Target="../charts/chart27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4.xml"/><Relationship Id="rId2" Type="http://schemas.openxmlformats.org/officeDocument/2006/relationships/chart" Target="../charts/chart33.xml"/><Relationship Id="rId1" Type="http://schemas.openxmlformats.org/officeDocument/2006/relationships/chart" Target="../charts/chart32.xml"/><Relationship Id="rId4" Type="http://schemas.openxmlformats.org/officeDocument/2006/relationships/chart" Target="../charts/chart3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8.xml"/><Relationship Id="rId2" Type="http://schemas.openxmlformats.org/officeDocument/2006/relationships/chart" Target="../charts/chart37.xml"/><Relationship Id="rId1" Type="http://schemas.openxmlformats.org/officeDocument/2006/relationships/chart" Target="../charts/chart36.xml"/><Relationship Id="rId5" Type="http://schemas.openxmlformats.org/officeDocument/2006/relationships/chart" Target="../charts/chart40.xml"/><Relationship Id="rId4" Type="http://schemas.openxmlformats.org/officeDocument/2006/relationships/chart" Target="../charts/chart39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4" Type="http://schemas.openxmlformats.org/officeDocument/2006/relationships/chart" Target="../charts/chart5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7" Type="http://schemas.openxmlformats.org/officeDocument/2006/relationships/chart" Target="../charts/chart61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Relationship Id="rId6" Type="http://schemas.openxmlformats.org/officeDocument/2006/relationships/chart" Target="../charts/chart60.xml"/><Relationship Id="rId5" Type="http://schemas.openxmlformats.org/officeDocument/2006/relationships/chart" Target="../charts/chart59.xml"/><Relationship Id="rId4" Type="http://schemas.openxmlformats.org/officeDocument/2006/relationships/chart" Target="../charts/chart5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285750</xdr:colOff>
      <xdr:row>15</xdr:row>
      <xdr:rowOff>157162</xdr:rowOff>
    </xdr:from>
    <xdr:to>
      <xdr:col>31</xdr:col>
      <xdr:colOff>409575</xdr:colOff>
      <xdr:row>29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238125</xdr:colOff>
      <xdr:row>21</xdr:row>
      <xdr:rowOff>195262</xdr:rowOff>
    </xdr:from>
    <xdr:to>
      <xdr:col>40</xdr:col>
      <xdr:colOff>200025</xdr:colOff>
      <xdr:row>35</xdr:row>
      <xdr:rowOff>138112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247650</xdr:colOff>
      <xdr:row>7</xdr:row>
      <xdr:rowOff>157162</xdr:rowOff>
    </xdr:from>
    <xdr:to>
      <xdr:col>40</xdr:col>
      <xdr:colOff>209550</xdr:colOff>
      <xdr:row>21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28575</xdr:colOff>
      <xdr:row>36</xdr:row>
      <xdr:rowOff>80962</xdr:rowOff>
    </xdr:from>
    <xdr:to>
      <xdr:col>39</xdr:col>
      <xdr:colOff>600075</xdr:colOff>
      <xdr:row>50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161925</xdr:colOff>
      <xdr:row>1</xdr:row>
      <xdr:rowOff>195262</xdr:rowOff>
    </xdr:from>
    <xdr:to>
      <xdr:col>31</xdr:col>
      <xdr:colOff>285750</xdr:colOff>
      <xdr:row>15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352425</xdr:colOff>
      <xdr:row>30</xdr:row>
      <xdr:rowOff>28575</xdr:rowOff>
    </xdr:from>
    <xdr:to>
      <xdr:col>31</xdr:col>
      <xdr:colOff>476250</xdr:colOff>
      <xdr:row>43</xdr:row>
      <xdr:rowOff>171450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39</xdr:col>
      <xdr:colOff>381000</xdr:colOff>
      <xdr:row>6</xdr:row>
      <xdr:rowOff>9525</xdr:rowOff>
    </xdr:from>
    <xdr:to>
      <xdr:col>47</xdr:col>
      <xdr:colOff>76200</xdr:colOff>
      <xdr:row>20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171450</xdr:colOff>
      <xdr:row>39</xdr:row>
      <xdr:rowOff>161925</xdr:rowOff>
    </xdr:from>
    <xdr:to>
      <xdr:col>31</xdr:col>
      <xdr:colOff>295275</xdr:colOff>
      <xdr:row>54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19050</xdr:colOff>
      <xdr:row>32</xdr:row>
      <xdr:rowOff>166687</xdr:rowOff>
    </xdr:from>
    <xdr:to>
      <xdr:col>33</xdr:col>
      <xdr:colOff>38100</xdr:colOff>
      <xdr:row>47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771525</xdr:colOff>
      <xdr:row>24</xdr:row>
      <xdr:rowOff>119062</xdr:rowOff>
    </xdr:from>
    <xdr:to>
      <xdr:col>35</xdr:col>
      <xdr:colOff>904875</xdr:colOff>
      <xdr:row>39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533400</xdr:colOff>
      <xdr:row>8</xdr:row>
      <xdr:rowOff>95250</xdr:rowOff>
    </xdr:from>
    <xdr:to>
      <xdr:col>41</xdr:col>
      <xdr:colOff>600075</xdr:colOff>
      <xdr:row>22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745435</xdr:colOff>
      <xdr:row>13</xdr:row>
      <xdr:rowOff>77855</xdr:rowOff>
    </xdr:from>
    <xdr:to>
      <xdr:col>41</xdr:col>
      <xdr:colOff>409576</xdr:colOff>
      <xdr:row>27</xdr:row>
      <xdr:rowOff>52386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923925</xdr:colOff>
      <xdr:row>31</xdr:row>
      <xdr:rowOff>61912</xdr:rowOff>
    </xdr:from>
    <xdr:to>
      <xdr:col>42</xdr:col>
      <xdr:colOff>381000</xdr:colOff>
      <xdr:row>45</xdr:row>
      <xdr:rowOff>138112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161925</xdr:colOff>
      <xdr:row>40</xdr:row>
      <xdr:rowOff>157162</xdr:rowOff>
    </xdr:from>
    <xdr:to>
      <xdr:col>39</xdr:col>
      <xdr:colOff>495300</xdr:colOff>
      <xdr:row>55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2486</xdr:colOff>
      <xdr:row>29</xdr:row>
      <xdr:rowOff>41826</xdr:rowOff>
    </xdr:from>
    <xdr:to>
      <xdr:col>40</xdr:col>
      <xdr:colOff>361537</xdr:colOff>
      <xdr:row>43</xdr:row>
      <xdr:rowOff>126101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131280</xdr:colOff>
      <xdr:row>0</xdr:row>
      <xdr:rowOff>918127</xdr:rowOff>
    </xdr:from>
    <xdr:to>
      <xdr:col>42</xdr:col>
      <xdr:colOff>600490</xdr:colOff>
      <xdr:row>14</xdr:row>
      <xdr:rowOff>165652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581025</xdr:colOff>
      <xdr:row>21</xdr:row>
      <xdr:rowOff>0</xdr:rowOff>
    </xdr:from>
    <xdr:to>
      <xdr:col>43</xdr:col>
      <xdr:colOff>447675</xdr:colOff>
      <xdr:row>35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471487</xdr:colOff>
      <xdr:row>7</xdr:row>
      <xdr:rowOff>157162</xdr:rowOff>
    </xdr:from>
    <xdr:to>
      <xdr:col>35</xdr:col>
      <xdr:colOff>795337</xdr:colOff>
      <xdr:row>22</xdr:row>
      <xdr:rowOff>42862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595312</xdr:colOff>
      <xdr:row>22</xdr:row>
      <xdr:rowOff>176212</xdr:rowOff>
    </xdr:from>
    <xdr:to>
      <xdr:col>35</xdr:col>
      <xdr:colOff>919162</xdr:colOff>
      <xdr:row>37</xdr:row>
      <xdr:rowOff>61912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180975</xdr:colOff>
      <xdr:row>23</xdr:row>
      <xdr:rowOff>47625</xdr:rowOff>
    </xdr:from>
    <xdr:to>
      <xdr:col>43</xdr:col>
      <xdr:colOff>47625</xdr:colOff>
      <xdr:row>37</xdr:row>
      <xdr:rowOff>123825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57150</xdr:colOff>
      <xdr:row>6</xdr:row>
      <xdr:rowOff>161925</xdr:rowOff>
    </xdr:from>
    <xdr:to>
      <xdr:col>42</xdr:col>
      <xdr:colOff>533400</xdr:colOff>
      <xdr:row>21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647700</xdr:colOff>
      <xdr:row>17</xdr:row>
      <xdr:rowOff>185737</xdr:rowOff>
    </xdr:from>
    <xdr:to>
      <xdr:col>34</xdr:col>
      <xdr:colOff>428625</xdr:colOff>
      <xdr:row>32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419100</xdr:colOff>
      <xdr:row>2</xdr:row>
      <xdr:rowOff>166687</xdr:rowOff>
    </xdr:from>
    <xdr:to>
      <xdr:col>34</xdr:col>
      <xdr:colOff>857250</xdr:colOff>
      <xdr:row>17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58954</xdr:colOff>
      <xdr:row>32</xdr:row>
      <xdr:rowOff>143387</xdr:rowOff>
    </xdr:from>
    <xdr:to>
      <xdr:col>34</xdr:col>
      <xdr:colOff>506702</xdr:colOff>
      <xdr:row>47</xdr:row>
      <xdr:rowOff>23240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753718</xdr:colOff>
      <xdr:row>17</xdr:row>
      <xdr:rowOff>7455</xdr:rowOff>
    </xdr:from>
    <xdr:to>
      <xdr:col>40</xdr:col>
      <xdr:colOff>397566</xdr:colOff>
      <xdr:row>31</xdr:row>
      <xdr:rowOff>67090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745434</xdr:colOff>
      <xdr:row>32</xdr:row>
      <xdr:rowOff>28162</xdr:rowOff>
    </xdr:from>
    <xdr:to>
      <xdr:col>40</xdr:col>
      <xdr:colOff>389282</xdr:colOff>
      <xdr:row>46</xdr:row>
      <xdr:rowOff>104362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3</xdr:row>
      <xdr:rowOff>109537</xdr:rowOff>
    </xdr:from>
    <xdr:to>
      <xdr:col>19</xdr:col>
      <xdr:colOff>133350</xdr:colOff>
      <xdr:row>15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447675</xdr:colOff>
      <xdr:row>8</xdr:row>
      <xdr:rowOff>52387</xdr:rowOff>
    </xdr:from>
    <xdr:to>
      <xdr:col>44</xdr:col>
      <xdr:colOff>142875</xdr:colOff>
      <xdr:row>20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333375</xdr:colOff>
      <xdr:row>17</xdr:row>
      <xdr:rowOff>100012</xdr:rowOff>
    </xdr:from>
    <xdr:to>
      <xdr:col>19</xdr:col>
      <xdr:colOff>276225</xdr:colOff>
      <xdr:row>31</xdr:row>
      <xdr:rowOff>176212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228600</xdr:colOff>
      <xdr:row>26</xdr:row>
      <xdr:rowOff>9525</xdr:rowOff>
    </xdr:from>
    <xdr:to>
      <xdr:col>37</xdr:col>
      <xdr:colOff>485775</xdr:colOff>
      <xdr:row>40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561975</xdr:colOff>
      <xdr:row>10</xdr:row>
      <xdr:rowOff>66675</xdr:rowOff>
    </xdr:from>
    <xdr:to>
      <xdr:col>38</xdr:col>
      <xdr:colOff>209550</xdr:colOff>
      <xdr:row>24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575422</xdr:colOff>
      <xdr:row>13</xdr:row>
      <xdr:rowOff>40901</xdr:rowOff>
    </xdr:from>
    <xdr:to>
      <xdr:col>41</xdr:col>
      <xdr:colOff>558053</xdr:colOff>
      <xdr:row>27</xdr:row>
      <xdr:rowOff>89647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110378</xdr:colOff>
      <xdr:row>12</xdr:row>
      <xdr:rowOff>155200</xdr:rowOff>
    </xdr:from>
    <xdr:to>
      <xdr:col>49</xdr:col>
      <xdr:colOff>415738</xdr:colOff>
      <xdr:row>27</xdr:row>
      <xdr:rowOff>13446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790575</xdr:colOff>
      <xdr:row>27</xdr:row>
      <xdr:rowOff>114300</xdr:rowOff>
    </xdr:from>
    <xdr:to>
      <xdr:col>42</xdr:col>
      <xdr:colOff>171450</xdr:colOff>
      <xdr:row>42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647700</xdr:colOff>
      <xdr:row>31</xdr:row>
      <xdr:rowOff>95250</xdr:rowOff>
    </xdr:from>
    <xdr:to>
      <xdr:col>35</xdr:col>
      <xdr:colOff>133350</xdr:colOff>
      <xdr:row>45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404062</xdr:colOff>
      <xdr:row>7</xdr:row>
      <xdr:rowOff>144690</xdr:rowOff>
    </xdr:from>
    <xdr:to>
      <xdr:col>40</xdr:col>
      <xdr:colOff>47624</xdr:colOff>
      <xdr:row>28</xdr:row>
      <xdr:rowOff>56322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114861</xdr:colOff>
      <xdr:row>26</xdr:row>
      <xdr:rowOff>90207</xdr:rowOff>
    </xdr:from>
    <xdr:to>
      <xdr:col>40</xdr:col>
      <xdr:colOff>429746</xdr:colOff>
      <xdr:row>41</xdr:row>
      <xdr:rowOff>151826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280146</xdr:colOff>
      <xdr:row>40</xdr:row>
      <xdr:rowOff>123265</xdr:rowOff>
    </xdr:from>
    <xdr:to>
      <xdr:col>36</xdr:col>
      <xdr:colOff>358588</xdr:colOff>
      <xdr:row>50</xdr:row>
      <xdr:rowOff>105333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168089</xdr:colOff>
      <xdr:row>53</xdr:row>
      <xdr:rowOff>141195</xdr:rowOff>
    </xdr:from>
    <xdr:to>
      <xdr:col>34</xdr:col>
      <xdr:colOff>605118</xdr:colOff>
      <xdr:row>68</xdr:row>
      <xdr:rowOff>26895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862853</xdr:colOff>
      <xdr:row>13</xdr:row>
      <xdr:rowOff>85164</xdr:rowOff>
    </xdr:from>
    <xdr:to>
      <xdr:col>44</xdr:col>
      <xdr:colOff>67235</xdr:colOff>
      <xdr:row>27</xdr:row>
      <xdr:rowOff>138952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565897</xdr:colOff>
      <xdr:row>11</xdr:row>
      <xdr:rowOff>202826</xdr:rowOff>
    </xdr:from>
    <xdr:to>
      <xdr:col>33</xdr:col>
      <xdr:colOff>577103</xdr:colOff>
      <xdr:row>26</xdr:row>
      <xdr:rowOff>32497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767603</xdr:colOff>
      <xdr:row>11</xdr:row>
      <xdr:rowOff>202825</xdr:rowOff>
    </xdr:from>
    <xdr:to>
      <xdr:col>39</xdr:col>
      <xdr:colOff>72838</xdr:colOff>
      <xdr:row>26</xdr:row>
      <xdr:rowOff>32496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600075</xdr:colOff>
      <xdr:row>26</xdr:row>
      <xdr:rowOff>57150</xdr:rowOff>
    </xdr:from>
    <xdr:to>
      <xdr:col>33</xdr:col>
      <xdr:colOff>619125</xdr:colOff>
      <xdr:row>40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51547</xdr:colOff>
      <xdr:row>11</xdr:row>
      <xdr:rowOff>88526</xdr:rowOff>
    </xdr:from>
    <xdr:to>
      <xdr:col>42</xdr:col>
      <xdr:colOff>443753</xdr:colOff>
      <xdr:row>25</xdr:row>
      <xdr:rowOff>108697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53228</xdr:colOff>
      <xdr:row>0</xdr:row>
      <xdr:rowOff>0</xdr:rowOff>
    </xdr:from>
    <xdr:to>
      <xdr:col>47</xdr:col>
      <xdr:colOff>358588</xdr:colOff>
      <xdr:row>10</xdr:row>
      <xdr:rowOff>29696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647700</xdr:colOff>
      <xdr:row>26</xdr:row>
      <xdr:rowOff>47625</xdr:rowOff>
    </xdr:from>
    <xdr:to>
      <xdr:col>43</xdr:col>
      <xdr:colOff>438150</xdr:colOff>
      <xdr:row>40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276225</xdr:colOff>
      <xdr:row>29</xdr:row>
      <xdr:rowOff>47625</xdr:rowOff>
    </xdr:from>
    <xdr:to>
      <xdr:col>36</xdr:col>
      <xdr:colOff>361950</xdr:colOff>
      <xdr:row>43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834838</xdr:colOff>
      <xdr:row>14</xdr:row>
      <xdr:rowOff>34737</xdr:rowOff>
    </xdr:from>
    <xdr:to>
      <xdr:col>44</xdr:col>
      <xdr:colOff>39220</xdr:colOff>
      <xdr:row>28</xdr:row>
      <xdr:rowOff>88525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890868</xdr:colOff>
      <xdr:row>5</xdr:row>
      <xdr:rowOff>79562</xdr:rowOff>
    </xdr:from>
    <xdr:to>
      <xdr:col>44</xdr:col>
      <xdr:colOff>95250</xdr:colOff>
      <xdr:row>12</xdr:row>
      <xdr:rowOff>155762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425823</xdr:colOff>
      <xdr:row>29</xdr:row>
      <xdr:rowOff>186018</xdr:rowOff>
    </xdr:from>
    <xdr:to>
      <xdr:col>43</xdr:col>
      <xdr:colOff>235323</xdr:colOff>
      <xdr:row>44</xdr:row>
      <xdr:rowOff>71718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526676</xdr:colOff>
      <xdr:row>37</xdr:row>
      <xdr:rowOff>152400</xdr:rowOff>
    </xdr:from>
    <xdr:to>
      <xdr:col>35</xdr:col>
      <xdr:colOff>11205</xdr:colOff>
      <xdr:row>52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834838</xdr:colOff>
      <xdr:row>21</xdr:row>
      <xdr:rowOff>34737</xdr:rowOff>
    </xdr:from>
    <xdr:to>
      <xdr:col>44</xdr:col>
      <xdr:colOff>39220</xdr:colOff>
      <xdr:row>35</xdr:row>
      <xdr:rowOff>88525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890868</xdr:colOff>
      <xdr:row>5</xdr:row>
      <xdr:rowOff>79562</xdr:rowOff>
    </xdr:from>
    <xdr:to>
      <xdr:col>44</xdr:col>
      <xdr:colOff>95250</xdr:colOff>
      <xdr:row>19</xdr:row>
      <xdr:rowOff>155762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425823</xdr:colOff>
      <xdr:row>36</xdr:row>
      <xdr:rowOff>186018</xdr:rowOff>
    </xdr:from>
    <xdr:to>
      <xdr:col>43</xdr:col>
      <xdr:colOff>235323</xdr:colOff>
      <xdr:row>51</xdr:row>
      <xdr:rowOff>71718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19050</xdr:colOff>
      <xdr:row>0</xdr:row>
      <xdr:rowOff>85723</xdr:rowOff>
    </xdr:from>
    <xdr:ext cx="638175" cy="530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7096125" y="85723"/>
              <a:ext cx="638175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latin typeface="Cambria Math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400" b="0" i="1">
                          <a:latin typeface="Cambria Math"/>
                        </a:rPr>
                        <m:t>𝑐</m:t>
                      </m:r>
                    </m:sub>
                  </m:sSub>
                </m:oMath>
              </a14:m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7096125" y="85723"/>
              <a:ext cx="638175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𝑓_𝑐</a:t>
              </a:r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Fallback>
    </mc:AlternateContent>
    <xdr:clientData/>
  </xdr:oneCellAnchor>
  <xdr:twoCellAnchor>
    <xdr:from>
      <xdr:col>14</xdr:col>
      <xdr:colOff>68037</xdr:colOff>
      <xdr:row>0</xdr:row>
      <xdr:rowOff>68037</xdr:rowOff>
    </xdr:from>
    <xdr:to>
      <xdr:col>26</xdr:col>
      <xdr:colOff>353787</xdr:colOff>
      <xdr:row>21</xdr:row>
      <xdr:rowOff>190500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108857</xdr:colOff>
      <xdr:row>0</xdr:row>
      <xdr:rowOff>299356</xdr:rowOff>
    </xdr:from>
    <xdr:to>
      <xdr:col>26</xdr:col>
      <xdr:colOff>394607</xdr:colOff>
      <xdr:row>63</xdr:row>
      <xdr:rowOff>122463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40821</xdr:colOff>
      <xdr:row>64</xdr:row>
      <xdr:rowOff>108857</xdr:rowOff>
    </xdr:from>
    <xdr:to>
      <xdr:col>26</xdr:col>
      <xdr:colOff>258536</xdr:colOff>
      <xdr:row>89</xdr:row>
      <xdr:rowOff>108856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544285</xdr:colOff>
      <xdr:row>71</xdr:row>
      <xdr:rowOff>13608</xdr:rowOff>
    </xdr:from>
    <xdr:to>
      <xdr:col>26</xdr:col>
      <xdr:colOff>381000</xdr:colOff>
      <xdr:row>94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326569</xdr:colOff>
      <xdr:row>0</xdr:row>
      <xdr:rowOff>370114</xdr:rowOff>
    </xdr:from>
    <xdr:to>
      <xdr:col>40</xdr:col>
      <xdr:colOff>13607</xdr:colOff>
      <xdr:row>18</xdr:row>
      <xdr:rowOff>231322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68037</xdr:colOff>
      <xdr:row>23</xdr:row>
      <xdr:rowOff>0</xdr:rowOff>
    </xdr:from>
    <xdr:to>
      <xdr:col>40</xdr:col>
      <xdr:colOff>367396</xdr:colOff>
      <xdr:row>42</xdr:row>
      <xdr:rowOff>24493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285751</xdr:colOff>
      <xdr:row>46</xdr:row>
      <xdr:rowOff>13606</xdr:rowOff>
    </xdr:from>
    <xdr:to>
      <xdr:col>40</xdr:col>
      <xdr:colOff>585110</xdr:colOff>
      <xdr:row>65</xdr:row>
      <xdr:rowOff>119743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75079</xdr:colOff>
      <xdr:row>0</xdr:row>
      <xdr:rowOff>74517</xdr:rowOff>
    </xdr:from>
    <xdr:ext cx="731744" cy="530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8770844" y="74517"/>
              <a:ext cx="731744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400" i="1">
                          <a:latin typeface="Cambria Math"/>
                        </a:rPr>
                      </m:ctrlPr>
                    </m:sSubPr>
                    <m:e>
                      <m:r>
                        <a:rPr lang="en-US" sz="1400" b="0" i="1">
                          <a:latin typeface="Cambria Math"/>
                        </a:rPr>
                        <m:t>𝑓</m:t>
                      </m:r>
                    </m:e>
                    <m:sub>
                      <m:r>
                        <a:rPr lang="en-US" sz="1400" b="0" i="1">
                          <a:latin typeface="Cambria Math"/>
                        </a:rPr>
                        <m:t>𝑐</m:t>
                      </m:r>
                    </m:sub>
                  </m:sSub>
                </m:oMath>
              </a14:m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8770844" y="74517"/>
              <a:ext cx="731744" cy="530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400" b="0" i="0">
                  <a:latin typeface="Cambria Math"/>
                </a:rPr>
                <a:t>𝑓_𝑐</a:t>
              </a:r>
              <a:r>
                <a:rPr lang="en-US" sz="1400"/>
                <a:t> </a:t>
              </a:r>
              <a:r>
                <a:rPr lang="en-US" sz="1400" i="0"/>
                <a:t>(Mpa)</a:t>
              </a: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id="11" name="Table11" displayName="Table11" ref="A1:T55" totalsRowShown="0" headerRowDxfId="506" dataDxfId="505" tableBorderDxfId="504">
  <autoFilter ref="A1:T55"/>
  <sortState ref="A2:T57">
    <sortCondition ref="A1:A57"/>
  </sortState>
  <tableColumns count="20">
    <tableColumn id="1" name="Column1" dataDxfId="503"/>
    <tableColumn id="20" name="Final Image number" dataDxfId="502"/>
    <tableColumn id="2" name="Image name" dataDxfId="501"/>
    <tableColumn id="3" name="Deflection at midSpan (mm)" dataDxfId="500"/>
    <tableColumn id="4" name="V (KN)"/>
    <tableColumn id="5" name="Deflection at midSpan (mm)/length of the beam (mm) %" dataDxfId="499">
      <calculatedColumnFormula>D2/$W$2*100</calculatedColumnFormula>
    </tableColumn>
    <tableColumn id="6" name="M (KN.mm)" dataDxfId="498">
      <calculatedColumnFormula>E2*M2</calculatedColumnFormula>
    </tableColumn>
    <tableColumn id="7" name="M/EI" dataDxfId="497">
      <calculatedColumnFormula>G2/($W$5*T2*0.001)</calculatedColumnFormula>
    </tableColumn>
    <tableColumn id="8" name="M/bd^2" dataDxfId="496">
      <calculatedColumnFormula>G2/($W$3*N2^2)</calculatedColumnFormula>
    </tableColumn>
    <tableColumn id="9" name="M/(As fy d)" dataDxfId="495">
      <calculatedColumnFormula>G2/(P2*R2*N2*0.001)</calculatedColumnFormula>
    </tableColumn>
    <tableColumn id="10" name="V/(GJ)" dataDxfId="494">
      <calculatedColumnFormula>E2/($W$6*S2*0.001)</calculatedColumnFormula>
    </tableColumn>
    <tableColumn id="11" name="V/(bd)" dataDxfId="493">
      <calculatedColumnFormula>E2/($W$3*N2)</calculatedColumnFormula>
    </tableColumn>
    <tableColumn id="12" name="a (mm)" dataDxfId="492"/>
    <tableColumn id="13" name="d (mm)" dataDxfId="491"/>
    <tableColumn id="14" name="h (mm)" dataDxfId="490"/>
    <tableColumn id="15" name="As (mm^2)" dataDxfId="489"/>
    <tableColumn id="16" name="pho (%)" dataDxfId="488">
      <calculatedColumnFormula>P2/($W$3*N2)*100</calculatedColumnFormula>
    </tableColumn>
    <tableColumn id="17" name="fy (Mpa)" dataDxfId="487"/>
    <tableColumn id="18" name="J(mm^4)" dataDxfId="486">
      <calculatedColumnFormula>(1/3-0.21*(MIN($W$3,O2)/MAX($W$3,O2))*(MIN($W$3,O2)^4/(12*MAX($W$3,O2)^4)))*MAX($W$3,O2)*MIN($W$3,O2)^3</calculatedColumnFormula>
    </tableColumn>
    <tableColumn id="19" name="I (mm^4)" dataDxfId="485">
      <calculatedColumnFormula>$W$3*O2^3/12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12" displayName="Table112" ref="A1:AG48" totalsRowShown="0" headerRowDxfId="484" dataDxfId="482" headerRowBorderDxfId="483" tableBorderDxfId="481" totalsRowBorderDxfId="480">
  <autoFilter ref="A1:AG48"/>
  <sortState ref="A2:T57">
    <sortCondition ref="A1:A57"/>
  </sortState>
  <tableColumns count="33">
    <tableColumn id="1" name="Column1" dataDxfId="479"/>
    <tableColumn id="20" name="Final Image number" dataDxfId="478"/>
    <tableColumn id="2" name="Image name" dataDxfId="477"/>
    <tableColumn id="3" name="d/a" dataDxfId="476">
      <calculatedColumnFormula>Table112[[#This Row],[a (mm)]]/Table112[[#This Row],[d (mm)]]</calculatedColumnFormula>
    </tableColumn>
    <tableColumn id="4" name="V (KN)" dataDxfId="475"/>
    <tableColumn id="5" name="d" dataDxfId="474">
      <calculatedColumnFormula>Table112[[#This Row],[d (mm)]]</calculatedColumnFormula>
    </tableColumn>
    <tableColumn id="6" name="M (KN.mm)" dataDxfId="473">
      <calculatedColumnFormula>E2*Y2</calculatedColumnFormula>
    </tableColumn>
    <tableColumn id="7" name="M/EI" dataDxfId="472">
      <calculatedColumnFormula>G2/($AI$5*AF2*0.001)</calculatedColumnFormula>
    </tableColumn>
    <tableColumn id="8" name="M/bd^2" dataDxfId="471">
      <calculatedColumnFormula>G2/($AI$3*Z2^2)</calculatedColumnFormula>
    </tableColumn>
    <tableColumn id="9" name="M/(As fy d)" dataDxfId="470">
      <calculatedColumnFormula>G2/(AB2*AD2*Z2*0.001)</calculatedColumnFormula>
    </tableColumn>
    <tableColumn id="10" name="V/(GJ)" dataDxfId="469">
      <calculatedColumnFormula>E2/($AI$5*AE2*0.001)</calculatedColumnFormula>
    </tableColumn>
    <tableColumn id="11" name="V/(bd)" dataDxfId="468">
      <calculatedColumnFormula>E2/($AI$3*Z2)</calculatedColumnFormula>
    </tableColumn>
    <tableColumn id="21" name="M/(bd)" dataDxfId="467">
      <calculatedColumnFormula>Table112[[#This Row],[M (KN.mm)]]/($AI$3*Table112[[#This Row],[d (mm)]])</calculatedColumnFormula>
    </tableColumn>
    <tableColumn id="22" name="M/bh" dataDxfId="466">
      <calculatedColumnFormula>Table112[[#This Row],[M (KN.mm)]]/($AI$3*Table112[[#This Row],[h (mm)]])</calculatedColumnFormula>
    </tableColumn>
    <tableColumn id="23" name="M/(bhl)" dataDxfId="465">
      <calculatedColumnFormula>Table112[[#This Row],[M (KN.mm)]]/($AI$3*Table112[[#This Row],[h (mm)]]*$AI$2)</calculatedColumnFormula>
    </tableColumn>
    <tableColumn id="24" name="M/(bdl)" dataDxfId="464">
      <calculatedColumnFormula>Table112[[#This Row],[M (KN.mm)]]/($AI$3*Table112[[#This Row],[d (mm)]]*$AI$2)</calculatedColumnFormula>
    </tableColumn>
    <tableColumn id="25" name="M/(fc bhl)" dataDxfId="463">
      <calculatedColumnFormula>Table112[[#This Row],[M (KN.mm)]]/($AI$3*Table112[[#This Row],[h (mm)]]*$AI$2*$AI$4)</calculatedColumnFormula>
    </tableColumn>
    <tableColumn id="26" name="M/(bh (l-a))" dataDxfId="462">
      <calculatedColumnFormula>Table112[[#This Row],[M (KN.mm)]]/($AI$3*Table112[[#This Row],[h (mm)]]*($AI$2-Table112[[#This Row],[a (mm)]]))</calculatedColumnFormula>
    </tableColumn>
    <tableColumn id="27" name="M/(abh (l-a))" dataDxfId="461">
      <calculatedColumnFormula>Table112[[#This Row],[M (KN.mm)]]/(Table112[[#This Row],[a (mm)]]*$AI$3*Table112[[#This Row],[h (mm)]]*($AI$2-Table112[[#This Row],[a (mm)]]))</calculatedColumnFormula>
    </tableColumn>
    <tableColumn id="28" name="M/(a^2 bh )" dataDxfId="460">
      <calculatedColumnFormula>Table112[[#This Row],[M (KN.mm)]]/(Table112[[#This Row],[a (mm)]]^2*$AI$3*Table112[[#This Row],[h (mm)]])</calculatedColumnFormula>
    </tableColumn>
    <tableColumn id="29" name="M/(pho  bd)" dataDxfId="459">
      <calculatedColumnFormula>Table112[[#This Row],[M (KN.mm)]]/($AI$3*Table112[[#This Row],[d (mm)]]*Table112[[#This Row],[pho (%)]])</calculatedColumnFormula>
    </tableColumn>
    <tableColumn id="30" name="V/(2*sqrt(fc) bd)" dataDxfId="458">
      <calculatedColumnFormula>E2*224.8/(2*SQRT($AI$4*145.037)*$AI$3*Table112[[#This Row],[d (mm)]]*(1/25.4)^2)</calculatedColumnFormula>
    </tableColumn>
    <tableColumn id="32" name="M/M_fracture" dataDxfId="457">
      <calculatedColumnFormula>Table112[[#This Row],[M (KN.mm)]]/$G$5</calculatedColumnFormula>
    </tableColumn>
    <tableColumn id="31" name="V/(2*sqrt(fc) bd)2" dataDxfId="456">
      <calculatedColumnFormula>V2</calculatedColumnFormula>
    </tableColumn>
    <tableColumn id="12" name="a (mm)" dataDxfId="455"/>
    <tableColumn id="13" name="d (mm)" dataDxfId="454"/>
    <tableColumn id="14" name="h (mm)" dataDxfId="453"/>
    <tableColumn id="15" name="As (mm^2)" dataDxfId="452"/>
    <tableColumn id="16" name="pho (%)" dataDxfId="451">
      <calculatedColumnFormula>AB2/($AI$3*Z2)*100</calculatedColumnFormula>
    </tableColumn>
    <tableColumn id="17" name="fy (Mpa)" dataDxfId="450"/>
    <tableColumn id="18" name="J(mm^4)" dataDxfId="449">
      <calculatedColumnFormula>(1/3-0.21*(MIN($AI$3,AA2)/MAX($AI$3,AA2))*(MIN($AI$3,AA2)^4/(12*MAX($AI$3,AA2)^4)))*MAX($AI$3,AA2)*MIN($AI$3,AA2)^3</calculatedColumnFormula>
    </tableColumn>
    <tableColumn id="19" name="I (mm^4)" dataDxfId="448">
      <calculatedColumnFormula>$AI$3*AA2^3/12</calculatedColumnFormula>
    </tableColumn>
    <tableColumn id="33" name="Column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1123" displayName="Table1123" ref="A1:AM53" totalsRowShown="0" headerRowDxfId="447" dataDxfId="446" tableBorderDxfId="445">
  <autoFilter ref="A1:AM53"/>
  <sortState ref="A2:T57">
    <sortCondition ref="A1:A57"/>
  </sortState>
  <tableColumns count="39">
    <tableColumn id="1" name="Image Seri" dataDxfId="444"/>
    <tableColumn id="20" name="Image Name" dataDxfId="443" dataCellStyle="Normal"/>
    <tableColumn id="2" name="Final Image name" dataDxfId="442" dataCellStyle="Normal"/>
    <tableColumn id="3" name="d/a" dataDxfId="441" dataCellStyle="Normal">
      <calculatedColumnFormula>Table1123[[#This Row],[a (mm)]]/Table1123[[#This Row],[d (mm)]]</calculatedColumnFormula>
    </tableColumn>
    <tableColumn id="4" name="V (KN)" dataDxfId="440" dataCellStyle="Normal"/>
    <tableColumn id="5" name="d" dataDxfId="439" dataCellStyle="Normal">
      <calculatedColumnFormula>Table1123[[#This Row],[d (mm)]]</calculatedColumnFormula>
    </tableColumn>
    <tableColumn id="6" name="M (KN.mm)" dataDxfId="438" dataCellStyle="Normal">
      <calculatedColumnFormula>E2*Y2</calculatedColumnFormula>
    </tableColumn>
    <tableColumn id="7" name="M/EI" dataDxfId="437" dataCellStyle="Normal">
      <calculatedColumnFormula>G2/($AK$5*AH2*0.001)</calculatedColumnFormula>
    </tableColumn>
    <tableColumn id="8" name="M/bd^2" dataDxfId="436" dataCellStyle="Normal">
      <calculatedColumnFormula>G2/(Table1123[[#This Row],[b (mm)]]*Z2^2)</calculatedColumnFormula>
    </tableColumn>
    <tableColumn id="9" name="M/(As fy d)" dataDxfId="435" dataCellStyle="Normal">
      <calculatedColumnFormula>G2/(AD2*AF2*Z2*0.001)</calculatedColumnFormula>
    </tableColumn>
    <tableColumn id="10" name="V/(GJ)" dataDxfId="434" dataCellStyle="Normal">
      <calculatedColumnFormula>E2/($AK$4*AG2*0.001)</calculatedColumnFormula>
    </tableColumn>
    <tableColumn id="11" name="V/(bd)" dataDxfId="433" dataCellStyle="Normal">
      <calculatedColumnFormula>E2/(Table1123[[#This Row],[b (mm)]]*Z2)</calculatedColumnFormula>
    </tableColumn>
    <tableColumn id="21" name="M/(bd)" dataDxfId="432" dataCellStyle="Normal">
      <calculatedColumnFormula>Table1123[[#This Row],[M (KN.mm)]]/(Table1123[[#This Row],[b (mm)]]*Table1123[[#This Row],[d (mm)]])</calculatedColumnFormula>
    </tableColumn>
    <tableColumn id="22" name="M/bh" dataDxfId="431" dataCellStyle="Normal">
      <calculatedColumnFormula>Table1123[[#This Row],[M (KN.mm)]]/(Table1123[[#This Row],[b (mm)]]*Table1123[[#This Row],[h (mm)]])</calculatedColumnFormula>
    </tableColumn>
    <tableColumn id="28" name="M/(bhl)" dataDxfId="430">
      <calculatedColumnFormula>Table1123[[#This Row],[M (KN.mm)]]/(Table1123[[#This Row],[b (mm)]]*Table1123[[#This Row],[h (mm)]]*Table1123[[#This Row],[L(mm)]])</calculatedColumnFormula>
    </tableColumn>
    <tableColumn id="29" name="M/(bdl)" dataDxfId="429">
      <calculatedColumnFormula>Table1123[[#This Row],[M (KN.mm)]]/(Table1123[[#This Row],[b (mm)]]*Table1123[[#This Row],[d (mm)]]*Table1123[[#This Row],[L(mm)]])</calculatedColumnFormula>
    </tableColumn>
    <tableColumn id="31" name="M/(fc bhl)" dataDxfId="428">
      <calculatedColumnFormula>Table1123[[#This Row],[M (KN.mm)]]/(Table1123[[#This Row],[b (mm)]]*Table1123[[#This Row],[h (mm)]]*Table1123[[#This Row],[L(mm)]]*Table1123[[#This Row],[fc (Mpa)]])</calculatedColumnFormula>
    </tableColumn>
    <tableColumn id="32" name="M/(bh (l/2))" dataDxfId="427">
      <calculatedColumnFormula>Table1123[[#This Row],[M (KN.mm)]]/(Table1123[[#This Row],[b (mm)]]*Table1123[[#This Row],[h (mm)]]*Table1123[[#This Row],[L(mm)]]/2)</calculatedColumnFormula>
    </tableColumn>
    <tableColumn id="33" name="M/(abh (l/2))" dataDxfId="426">
      <calculatedColumnFormula>Table1123[[#This Row],[M (KN.mm)]]/(Table1123[[#This Row],[a (mm)]]*Table1123[[#This Row],[b (mm)]]*Table1123[[#This Row],[h (mm)]]*Table1123[[#This Row],[L(mm)]]/2)</calculatedColumnFormula>
    </tableColumn>
    <tableColumn id="34" name="M/(rho  EI)" dataDxfId="3">
      <calculatedColumnFormula>G2/(Table1123[pho (%)]*$AK$5*AH2*0.001)</calculatedColumnFormula>
    </tableColumn>
    <tableColumn id="35" name="M/(rho  bd)" dataDxfId="425">
      <calculatedColumnFormula>Table1123[[#This Row],[M (KN.mm)]]/(Table1123[[#This Row],[b (mm)]]*Table1123[[#This Row],[d (mm)]]*Table1123[[#This Row],[pho (%)]])</calculatedColumnFormula>
    </tableColumn>
    <tableColumn id="38" name="V/(2*sqrt(fc) bd)" dataDxfId="424">
      <calculatedColumnFormula>E2*224.8/(2*SQRT(Table1123[[#This Row],[fc (Mpa)]]*145.037)*Table1123[[#This Row],[b (mm)]]*Table1123[[#This Row],[d (mm)]]*(1/25.4)^2)</calculatedColumnFormula>
    </tableColumn>
    <tableColumn id="36" name="M/M_fracture" dataDxfId="423">
      <calculatedColumnFormula>Table1123[[#This Row],[M (KN.mm)]]/$G$17</calculatedColumnFormula>
    </tableColumn>
    <tableColumn id="39" name="V/(2*sqrt(fc) bd)2" dataDxfId="422">
      <calculatedColumnFormula>V2</calculatedColumnFormula>
    </tableColumn>
    <tableColumn id="12" name="a (mm)" dataDxfId="421" dataCellStyle="Normal"/>
    <tableColumn id="13" name="d (mm)" dataDxfId="420" dataCellStyle="Normal"/>
    <tableColumn id="14" name="h (mm)" dataDxfId="419" dataCellStyle="Normal"/>
    <tableColumn id="15" name="b (mm)" dataDxfId="418" dataCellStyle="Normal">
      <calculatedColumnFormula>22.5*25.4</calculatedColumnFormula>
    </tableColumn>
    <tableColumn id="16" name="fc (Mpa)" dataDxfId="417" dataCellStyle="Normal"/>
    <tableColumn id="17" name="As (mm^2)" dataDxfId="416" dataCellStyle="Normal"/>
    <tableColumn id="18" name="pho (%)" dataDxfId="415" dataCellStyle="Normal">
      <calculatedColumnFormula>AD2/(Table1123[[#This Row],[b (mm)]]*Z2)*100</calculatedColumnFormula>
    </tableColumn>
    <tableColumn id="19" name="fy (Mpa)" dataDxfId="414" dataCellStyle="Normal"/>
    <tableColumn id="23" name="J(mm^4)" dataDxfId="413" dataCellStyle="Normal">
      <calculatedColumnFormula>(1/3-0.21*(MIN(Table1123[[#This Row],[b (mm)]],AA2)/MAX(Table1123[[#This Row],[b (mm)]],AA2))*(MIN(Table1123[[#This Row],[b (mm)]],AA2)^4/(12*MAX(Table1123[[#This Row],[b (mm)]],AA2)^4)))*MAX(Table1123[[#This Row],[b (mm)]],AA2)*MIN(Table1123[[#This Row],[b (mm)]],AA2)^3</calculatedColumnFormula>
    </tableColumn>
    <tableColumn id="24" name="I (mm^4)" dataDxfId="412" dataCellStyle="Normal">
      <calculatedColumnFormula>Table1123[[#This Row],[b (mm)]]*AA2^3/12</calculatedColumnFormula>
    </tableColumn>
    <tableColumn id="25" name="L(mm)" dataDxfId="411" dataCellStyle="Normal"/>
    <tableColumn id="26" name="Column1" dataDxfId="410" dataCellStyle="Normal"/>
    <tableColumn id="27" name="Column2" dataDxfId="409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11234" displayName="Table11234" ref="A1:AM53" totalsRowShown="0" headerRowDxfId="408" dataDxfId="407" tableBorderDxfId="406">
  <autoFilter ref="A1:AM53"/>
  <sortState ref="A2:T57">
    <sortCondition ref="A1:A57"/>
  </sortState>
  <tableColumns count="39">
    <tableColumn id="1" name="Image Seri" dataDxfId="405"/>
    <tableColumn id="20" name="Image Name" dataDxfId="404" dataCellStyle="Normal"/>
    <tableColumn id="2" name="Final Image name" dataDxfId="403" dataCellStyle="Normal"/>
    <tableColumn id="3" name="d/a" dataDxfId="402" dataCellStyle="Normal"/>
    <tableColumn id="4" name="V (KN)" dataDxfId="401" dataCellStyle="Normal"/>
    <tableColumn id="5" name="d" dataDxfId="400" dataCellStyle="Normal">
      <calculatedColumnFormula>D2/Table11234[[#This Row],[L(mm)]]*100</calculatedColumnFormula>
    </tableColumn>
    <tableColumn id="6" name="M (KN.mm)" dataDxfId="399" dataCellStyle="Normal">
      <calculatedColumnFormula>E2*Y2</calculatedColumnFormula>
    </tableColumn>
    <tableColumn id="7" name="M/EI" dataDxfId="398" dataCellStyle="Normal">
      <calculatedColumnFormula>G2/($AK$5*AH2*0.001)</calculatedColumnFormula>
    </tableColumn>
    <tableColumn id="8" name="M/bd^2" dataDxfId="397" dataCellStyle="Normal">
      <calculatedColumnFormula>G2/(Table11234[[#This Row],[b (mm)]]*Z2^2)</calculatedColumnFormula>
    </tableColumn>
    <tableColumn id="9" name="M/(As fy d)" dataDxfId="396" dataCellStyle="Normal">
      <calculatedColumnFormula>G2/(AD2*AF2*Z2*0.001)</calculatedColumnFormula>
    </tableColumn>
    <tableColumn id="10" name="V/(GJ)" dataDxfId="395" dataCellStyle="Normal">
      <calculatedColumnFormula>E2/($AK$4*AG2*0.001)</calculatedColumnFormula>
    </tableColumn>
    <tableColumn id="11" name="V/(bd)" dataDxfId="394" dataCellStyle="Normal">
      <calculatedColumnFormula>E2/(Table11234[[#This Row],[b (mm)]]*Z2)</calculatedColumnFormula>
    </tableColumn>
    <tableColumn id="21" name="M/(bd)" dataDxfId="393" dataCellStyle="Normal">
      <calculatedColumnFormula>Table11234[[#This Row],[M (KN.mm)]]/(Table11234[[#This Row],[b (mm)]]*Table11234[[#This Row],[d (mm)]])</calculatedColumnFormula>
    </tableColumn>
    <tableColumn id="22" name="M/bh" dataDxfId="392" dataCellStyle="Normal">
      <calculatedColumnFormula>Table11234[[#This Row],[M (KN.mm)]]/(Table11234[[#This Row],[b (mm)]]*Table11234[[#This Row],[h (mm)]])</calculatedColumnFormula>
    </tableColumn>
    <tableColumn id="28" name="M/(bhl)" dataDxfId="391">
      <calculatedColumnFormula>Table11234[[#This Row],[M (KN.mm)]]/(Table11234[[#This Row],[b (mm)]]*Table11234[[#This Row],[h (mm)]]*Table11234[[#This Row],[L(mm)]])</calculatedColumnFormula>
    </tableColumn>
    <tableColumn id="29" name="M/(bdl)" dataDxfId="390">
      <calculatedColumnFormula>Table11234[[#This Row],[M (KN.mm)]]/(Table11234[[#This Row],[b (mm)]]*Table11234[[#This Row],[d (mm)]]*Table11234[[#This Row],[L(mm)]])</calculatedColumnFormula>
    </tableColumn>
    <tableColumn id="31" name="M/(fc bhl)" dataDxfId="389">
      <calculatedColumnFormula>Table11234[[#This Row],[M (KN.mm)]]/(Table11234[[#This Row],[b (mm)]]*Table11234[[#This Row],[h (mm)]]*Table11234[[#This Row],[L(mm)]]*Table11234[[#This Row],[fc (Mpa)]])</calculatedColumnFormula>
    </tableColumn>
    <tableColumn id="32" name="M/(bh (l/2))" dataDxfId="388">
      <calculatedColumnFormula>Table11234[[#This Row],[M (KN.mm)]]/(Table11234[[#This Row],[b (mm)]]*Table11234[[#This Row],[h (mm)]]*Table11234[[#This Row],[L(mm)]]/2)</calculatedColumnFormula>
    </tableColumn>
    <tableColumn id="33" name="M/(abh (l/2))" dataDxfId="387">
      <calculatedColumnFormula>Table11234[[#This Row],[M (KN.mm)]]/(Table11234[[#This Row],[a (mm)]]*Table11234[[#This Row],[b (mm)]]*Table11234[[#This Row],[h (mm)]]*Table11234[[#This Row],[L(mm)]]/2)</calculatedColumnFormula>
    </tableColumn>
    <tableColumn id="34" name="M/(rho  EI)" dataDxfId="386">
      <calculatedColumnFormula>Table11234[[#This Row],[M (KN.mm)]]/(Table11234[[#This Row],[a (mm)]]^2*Table11234[[#This Row],[b (mm)]]*Table11234[[#This Row],[h (mm)]])</calculatedColumnFormula>
    </tableColumn>
    <tableColumn id="35" name="M/(rho  bd)" dataDxfId="385">
      <calculatedColumnFormula>Table11234[[#This Row],[M (KN.mm)]]/(Table11234[[#This Row],[b (mm)]]*Table11234[[#This Row],[d (mm)]]*Table11234[[#This Row],[pho (%)]])</calculatedColumnFormula>
    </tableColumn>
    <tableColumn id="36" name="V/(2*sqrt(fc) bd)" dataDxfId="384">
      <calculatedColumnFormula>E2/(Table11234[[#This Row],[b (mm)]]*AA2*Table11234[[#This Row],[fc (Mpa)]]*Table11234[[#This Row],[a (mm)]])</calculatedColumnFormula>
    </tableColumn>
    <tableColumn id="38" name="M/M_fracture" dataDxfId="383">
      <calculatedColumnFormula>Table11234[[#This Row],[M (KN.mm)]]/$G$8</calculatedColumnFormula>
    </tableColumn>
    <tableColumn id="39" name="V/(2*sqrt(fc) bd)2" dataDxfId="382">
      <calculatedColumnFormula>Table11234[[#This Row],[d (mm)]]/Table11234[[#This Row],[a (mm)]]</calculatedColumnFormula>
    </tableColumn>
    <tableColumn id="12" name="a (mm)" dataDxfId="381" dataCellStyle="Normal">
      <calculatedColumnFormula>24*25.4</calculatedColumnFormula>
    </tableColumn>
    <tableColumn id="13" name="d (mm)" dataDxfId="380" dataCellStyle="Normal">
      <calculatedColumnFormula>10.5*25.4</calculatedColumnFormula>
    </tableColumn>
    <tableColumn id="14" name="h (mm)" dataDxfId="379" dataCellStyle="Normal">
      <calculatedColumnFormula>12*25.4</calculatedColumnFormula>
    </tableColumn>
    <tableColumn id="15" name="b (mm)" dataDxfId="378" dataCellStyle="Normal">
      <calculatedColumnFormula>9*25.4</calculatedColumnFormula>
    </tableColumn>
    <tableColumn id="16" name="fc (Mpa)" dataDxfId="377" dataCellStyle="Normal"/>
    <tableColumn id="17" name="As (mm^2)" dataDxfId="376" dataCellStyle="Normal">
      <calculatedColumnFormula>Table11234[[#This Row],[pho (%)]]/100*Table11234[[#This Row],[b (mm)]]*Table11234[[#This Row],[h (mm)]]</calculatedColumnFormula>
    </tableColumn>
    <tableColumn id="18" name="pho (%)" dataDxfId="375" dataCellStyle="Normal">
      <calculatedColumnFormula>AD2/(Table11234[[#This Row],[b (mm)]]*Z2)*100</calculatedColumnFormula>
    </tableColumn>
    <tableColumn id="19" name="fy (Mpa)" dataDxfId="374" dataCellStyle="Normal"/>
    <tableColumn id="23" name="J(mm^4)" dataDxfId="373" dataCellStyle="Normal">
      <calculatedColumnFormula>(1/3-0.21*(MIN(Table11234[[#This Row],[b (mm)]],AA2)/MAX(Table11234[[#This Row],[b (mm)]],AA2))*(MIN(Table11234[[#This Row],[b (mm)]],AA2)^4/(12*MAX(Table11234[[#This Row],[b (mm)]],AA2)^4)))*MAX(Table11234[[#This Row],[b (mm)]],AA2)*MIN(Table11234[[#This Row],[b (mm)]],AA2)^3</calculatedColumnFormula>
    </tableColumn>
    <tableColumn id="24" name="I (mm^4)" dataDxfId="372" dataCellStyle="Normal">
      <calculatedColumnFormula>Table11234[[#This Row],[b (mm)]]*AA2^3/12</calculatedColumnFormula>
    </tableColumn>
    <tableColumn id="25" name="L(mm)" dataDxfId="371" dataCellStyle="Normal">
      <calculatedColumnFormula>78.125*25.4</calculatedColumnFormula>
    </tableColumn>
    <tableColumn id="26" name="Column1" dataDxfId="370" dataCellStyle="Normal"/>
    <tableColumn id="27" name="Column2" dataDxfId="369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12348" displayName="Table112348" ref="A1:AM83" totalsRowShown="0" headerRowDxfId="368" dataDxfId="367" tableBorderDxfId="366">
  <autoFilter ref="A1:AM83"/>
  <sortState ref="A2:T57">
    <sortCondition ref="A1:A57"/>
  </sortState>
  <tableColumns count="39">
    <tableColumn id="1" name="Image Seri" dataDxfId="365"/>
    <tableColumn id="20" name="Image Name" dataDxfId="364" dataCellStyle="Normal"/>
    <tableColumn id="2" name="Final Image name" dataDxfId="363" dataCellStyle="Normal"/>
    <tableColumn id="3" name="d/a" dataDxfId="362" dataCellStyle="Normal">
      <calculatedColumnFormula>Table112348[[#This Row],[a (mm)]]/Table112348[[#This Row],[d (mm)]]</calculatedColumnFormula>
    </tableColumn>
    <tableColumn id="4" name="V (KN)" dataDxfId="361" dataCellStyle="Normal"/>
    <tableColumn id="5" name="d" dataDxfId="360" dataCellStyle="Normal">
      <calculatedColumnFormula>Table112348[[#This Row],[d (mm)]]</calculatedColumnFormula>
    </tableColumn>
    <tableColumn id="6" name="M (KN.mm)" dataDxfId="359" dataCellStyle="Normal">
      <calculatedColumnFormula>E2*Y2</calculatedColumnFormula>
    </tableColumn>
    <tableColumn id="7" name="M/EI" dataDxfId="358" dataCellStyle="Normal">
      <calculatedColumnFormula>G2/($AK$5*AH2*0.001)</calculatedColumnFormula>
    </tableColumn>
    <tableColumn id="8" name="M/bd^2" dataDxfId="357" dataCellStyle="Normal">
      <calculatedColumnFormula>G2/(Table112348[[#This Row],[b (mm)]]*Z2^2)</calculatedColumnFormula>
    </tableColumn>
    <tableColumn id="9" name="M/(As fy d)" dataDxfId="356" dataCellStyle="Normal">
      <calculatedColumnFormula>G2/(AD2*AF2*Z2*0.001)</calculatedColumnFormula>
    </tableColumn>
    <tableColumn id="10" name="V/(GJ)" dataDxfId="355" dataCellStyle="Normal">
      <calculatedColumnFormula>E2/($AK$4*AG2*0.001)</calculatedColumnFormula>
    </tableColumn>
    <tableColumn id="11" name="V/(bd)" dataDxfId="354" dataCellStyle="Normal">
      <calculatedColumnFormula>E2/(Table112348[[#This Row],[b (mm)]]*Z2)</calculatedColumnFormula>
    </tableColumn>
    <tableColumn id="21" name="M/(bd)" dataDxfId="353" dataCellStyle="Normal">
      <calculatedColumnFormula>Table112348[[#This Row],[M (KN.mm)]]/(Table112348[[#This Row],[b (mm)]]*Table112348[[#This Row],[d (mm)]])</calculatedColumnFormula>
    </tableColumn>
    <tableColumn id="22" name="M/bh" dataDxfId="352" dataCellStyle="Normal">
      <calculatedColumnFormula>Table112348[[#This Row],[M (KN.mm)]]/(Table112348[[#This Row],[b (mm)]]*Table112348[[#This Row],[h (mm)]])</calculatedColumnFormula>
    </tableColumn>
    <tableColumn id="28" name="M/(bhl)" dataDxfId="351">
      <calculatedColumnFormula>Table112348[[#This Row],[M (KN.mm)]]/(Table112348[[#This Row],[b (mm)]]*Table112348[[#This Row],[h (mm)]]*Table112348[[#This Row],[L(mm)]])</calculatedColumnFormula>
    </tableColumn>
    <tableColumn id="29" name="M/(bdl)" dataDxfId="350">
      <calculatedColumnFormula>Table112348[[#This Row],[M (KN.mm)]]/(Table112348[[#This Row],[b (mm)]]*Table112348[[#This Row],[d (mm)]]*Table112348[[#This Row],[L(mm)]])</calculatedColumnFormula>
    </tableColumn>
    <tableColumn id="31" name="M/(fc bhl)" dataDxfId="349">
      <calculatedColumnFormula>Table112348[[#This Row],[M (KN.mm)]]/(Table112348[[#This Row],[b (mm)]]*Table112348[[#This Row],[h (mm)]]*Table112348[[#This Row],[L(mm)]]*Table112348[[#This Row],[fc (Mpa)]])</calculatedColumnFormula>
    </tableColumn>
    <tableColumn id="32" name="M/(bh (l/2))" dataDxfId="348">
      <calculatedColumnFormula>Table112348[[#This Row],[M (KN.mm)]]/(Table112348[[#This Row],[b (mm)]]*Table112348[[#This Row],[h (mm)]]*Table112348[[#This Row],[L(mm)]]/2)</calculatedColumnFormula>
    </tableColumn>
    <tableColumn id="33" name="M/(abh (l/2))" dataDxfId="347">
      <calculatedColumnFormula>Table112348[[#This Row],[M (KN.mm)]]/(Table112348[[#This Row],[a (mm)]]*Table112348[[#This Row],[b (mm)]]*Table112348[[#This Row],[h (mm)]]*Table112348[[#This Row],[L(mm)]]/2)</calculatedColumnFormula>
    </tableColumn>
    <tableColumn id="34" name="M/(rho  EI)" dataDxfId="2">
      <calculatedColumnFormula>G2/($AK$5*AH2*0.001*Table112348[[#This Row],[pho (%)]])</calculatedColumnFormula>
    </tableColumn>
    <tableColumn id="35" name="M/(rho  bd)" dataDxfId="346">
      <calculatedColumnFormula>Table112348[[#This Row],[M (KN.mm)]]/(Table112348[[#This Row],[b (mm)]]*Table112348[[#This Row],[d (mm)]]*Table112348[[#This Row],[pho (%)]])</calculatedColumnFormula>
    </tableColumn>
    <tableColumn id="36" name="V/(2*sqrt(fc) bd)" dataDxfId="345">
      <calculatedColumnFormula>E2/(Table112348[[#This Row],[b (mm)]]*AA2*Table112348[[#This Row],[fc (Mpa)]]*Table112348[[#This Row],[a (mm)]])</calculatedColumnFormula>
    </tableColumn>
    <tableColumn id="38" name="M/M_fracture" dataDxfId="344">
      <calculatedColumnFormula>Table112348[[#This Row],[M (KN.mm)]]/$G$8</calculatedColumnFormula>
    </tableColumn>
    <tableColumn id="39" name="V/(2*sqrt(fc) bd)2" dataDxfId="343">
      <calculatedColumnFormula>V2</calculatedColumnFormula>
    </tableColumn>
    <tableColumn id="12" name="a (mm)" dataDxfId="342" dataCellStyle="Normal">
      <calculatedColumnFormula>60*25.4</calculatedColumnFormula>
    </tableColumn>
    <tableColumn id="13" name="d (mm)" dataDxfId="341" dataCellStyle="Normal">
      <calculatedColumnFormula>10.5*25.4</calculatedColumnFormula>
    </tableColumn>
    <tableColumn id="14" name="h (mm)" dataDxfId="340" dataCellStyle="Normal">
      <calculatedColumnFormula>28*25.4</calculatedColumnFormula>
    </tableColumn>
    <tableColumn id="15" name="b (mm)" dataDxfId="339" dataCellStyle="Normal">
      <calculatedColumnFormula>22.56*25.4</calculatedColumnFormula>
    </tableColumn>
    <tableColumn id="16" name="fc (Mpa)" dataDxfId="338" dataCellStyle="Normal"/>
    <tableColumn id="17" name="As (mm^2)" dataDxfId="337" dataCellStyle="Normal">
      <calculatedColumnFormula>Table112348[[#This Row],[pho (%)]]/100*Table112348[[#This Row],[b (mm)]]*Table112348[[#This Row],[h (mm)]]</calculatedColumnFormula>
    </tableColumn>
    <tableColumn id="18" name="pho (%)" dataDxfId="336" dataCellStyle="Normal">
      <calculatedColumnFormula>AD2/(Table112348[[#This Row],[b (mm)]]*Z2)*100</calculatedColumnFormula>
    </tableColumn>
    <tableColumn id="19" name="fy (Mpa)" dataDxfId="335" dataCellStyle="Normal"/>
    <tableColumn id="23" name="J(mm^4)" dataDxfId="334" dataCellStyle="Normal">
      <calculatedColumnFormula>(1/3-0.21*(MIN(Table112348[[#This Row],[b (mm)]],AA2)/MAX(Table112348[[#This Row],[b (mm)]],AA2))*(MIN(Table112348[[#This Row],[b (mm)]],AA2)^4/(12*MAX(Table112348[[#This Row],[b (mm)]],AA2)^4)))*MAX(Table112348[[#This Row],[b (mm)]],AA2)*MIN(Table112348[[#This Row],[b (mm)]],AA2)^3</calculatedColumnFormula>
    </tableColumn>
    <tableColumn id="24" name="I (mm^4)" dataDxfId="333" dataCellStyle="Normal">
      <calculatedColumnFormula>Table112348[[#This Row],[b (mm)]]*AA2^3/12</calculatedColumnFormula>
    </tableColumn>
    <tableColumn id="25" name="L(mm)" dataDxfId="332" dataCellStyle="Normal">
      <calculatedColumnFormula>78.125*25.4</calculatedColumnFormula>
    </tableColumn>
    <tableColumn id="26" name="Column1" dataDxfId="331" dataCellStyle="Normal"/>
    <tableColumn id="27" name="Column2" dataDxfId="330" dataCellStyle="Normal"/>
    <tableColumn id="30" name="Column3"/>
    <tableColumn id="37" name="Column4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4" name="Table112345" displayName="Table112345" ref="A1:AM89" totalsRowShown="0" headerRowDxfId="329" dataDxfId="328" tableBorderDxfId="327">
  <autoFilter ref="A1:AM89"/>
  <sortState ref="A2:T57">
    <sortCondition ref="A1:A57"/>
  </sortState>
  <tableColumns count="39">
    <tableColumn id="1" name="Image Seri" dataDxfId="326"/>
    <tableColumn id="20" name="Image Name" dataDxfId="325" dataCellStyle="Normal"/>
    <tableColumn id="2" name="Final Image name" dataDxfId="324" dataCellStyle="Normal"/>
    <tableColumn id="3" name="d/a" dataDxfId="323" dataCellStyle="Normal">
      <calculatedColumnFormula>Table112345[[#This Row],[a (mm)]]/Table112345[[#This Row],[d (mm)]]</calculatedColumnFormula>
    </tableColumn>
    <tableColumn id="4" name="V (KN)" dataDxfId="322" dataCellStyle="Normal"/>
    <tableColumn id="5" name="d" dataDxfId="321" dataCellStyle="Normal">
      <calculatedColumnFormula>Table112345[[#This Row],[d (mm)]]</calculatedColumnFormula>
    </tableColumn>
    <tableColumn id="6" name="M (KN.mm)" dataDxfId="320" dataCellStyle="Normal">
      <calculatedColumnFormula>E2*Y2</calculatedColumnFormula>
    </tableColumn>
    <tableColumn id="7" name="M/EI" dataDxfId="319" dataCellStyle="Normal">
      <calculatedColumnFormula>G2/($AL$5*AH2*0.001)</calculatedColumnFormula>
    </tableColumn>
    <tableColumn id="8" name="M/bd^2" dataDxfId="318" dataCellStyle="Normal">
      <calculatedColumnFormula>G2/(Table112345[[#This Row],[b (mm)]]*Z2^2)</calculatedColumnFormula>
    </tableColumn>
    <tableColumn id="9" name="M/(As fy d)" dataDxfId="317" dataCellStyle="Normal">
      <calculatedColumnFormula>G2/(AD2*AF2*Z2*0.001)</calculatedColumnFormula>
    </tableColumn>
    <tableColumn id="10" name="V/(GJ)" dataDxfId="316" dataCellStyle="Normal">
      <calculatedColumnFormula>E2/($AL$4*AG2*0.001)</calculatedColumnFormula>
    </tableColumn>
    <tableColumn id="11" name="V/(bd)" dataDxfId="315" dataCellStyle="Normal">
      <calculatedColumnFormula>E2/(Table112345[[#This Row],[b (mm)]]*Z2)</calculatedColumnFormula>
    </tableColumn>
    <tableColumn id="21" name="M/(bd)" dataDxfId="314" dataCellStyle="Normal">
      <calculatedColumnFormula>Table112345[[#This Row],[M (KN.mm)]]/(Table112345[[#This Row],[b (mm)]]*Table112345[[#This Row],[d (mm)]])</calculatedColumnFormula>
    </tableColumn>
    <tableColumn id="22" name="M/bh" dataDxfId="313" dataCellStyle="Normal">
      <calculatedColumnFormula>Table112345[[#This Row],[M (KN.mm)]]/(Table112345[[#This Row],[b (mm)]]*Table112345[[#This Row],[h (mm)]])</calculatedColumnFormula>
    </tableColumn>
    <tableColumn id="28" name="M/(bhl)" dataDxfId="312">
      <calculatedColumnFormula>Table112345[[#This Row],[M (KN.mm)]]/(Table112345[[#This Row],[b (mm)]]*Table112345[[#This Row],[h (mm)]]*Table112345[[#This Row],[L(mm)]])</calculatedColumnFormula>
    </tableColumn>
    <tableColumn id="29" name="M/(bdl)" dataDxfId="311">
      <calculatedColumnFormula>Table112345[[#This Row],[M (KN.mm)]]/(Table112345[[#This Row],[b (mm)]]*Table112345[[#This Row],[d (mm)]]*Table112345[[#This Row],[L(mm)]])</calculatedColumnFormula>
    </tableColumn>
    <tableColumn id="31" name="M/(fc bhl)" dataDxfId="310">
      <calculatedColumnFormula>Table112345[[#This Row],[M (KN.mm)]]/(Table112345[[#This Row],[b (mm)]]*Table112345[[#This Row],[h (mm)]]*Table112345[[#This Row],[L(mm)]]*Table112345[[#This Row],[fc (Mpa)]])</calculatedColumnFormula>
    </tableColumn>
    <tableColumn id="32" name="M/(bh (l/2))" dataDxfId="309">
      <calculatedColumnFormula>Table112345[[#This Row],[M (KN.mm)]]/(Table112345[[#This Row],[b (mm)]]*Table112345[[#This Row],[h (mm)]]*Table112345[[#This Row],[L(mm)]]/2)</calculatedColumnFormula>
    </tableColumn>
    <tableColumn id="33" name="M/(abh (l/2))" dataDxfId="308">
      <calculatedColumnFormula>Table112345[[#This Row],[M (KN.mm)]]/(Table112345[[#This Row],[a (mm)]]*Table112345[[#This Row],[b (mm)]]*Table112345[[#This Row],[h (mm)]]*Table112345[[#This Row],[L(mm)]]/2)</calculatedColumnFormula>
    </tableColumn>
    <tableColumn id="34" name="M/(rho  EI)" dataDxfId="1">
      <calculatedColumnFormula>G2/($AL$5*AH2*0.001*Table112345[[#This Row],[pho (%)]])</calculatedColumnFormula>
    </tableColumn>
    <tableColumn id="35" name="M/(rho  bd)" dataDxfId="307">
      <calculatedColumnFormula>Table112345[[#This Row],[M (KN.mm)]]/(Table112345[[#This Row],[b (mm)]]*Table112345[[#This Row],[d (mm)]]*Table112345[[#This Row],[pho (%)]])</calculatedColumnFormula>
    </tableColumn>
    <tableColumn id="36" name="V/(2*sqrt(fc) bd)" dataDxfId="306">
      <calculatedColumnFormula>E2*224.8/(2*SQRT(Table112345[[#This Row],[fc (Mpa)]]*145.037)*Table112345[[#This Row],[b (mm)]]*Table112345[[#This Row],[d (mm)]]*(1/25.4)^2)</calculatedColumnFormula>
    </tableColumn>
    <tableColumn id="38" name="M/M_fracture" dataDxfId="305">
      <calculatedColumnFormula>Table112345[[#This Row],[M (KN.mm)]]/$G$11</calculatedColumnFormula>
    </tableColumn>
    <tableColumn id="39" name="V/(2*sqrt(fc) bd)2" dataDxfId="304">
      <calculatedColumnFormula>V2</calculatedColumnFormula>
    </tableColumn>
    <tableColumn id="12" name="a (mm)" dataDxfId="303" dataCellStyle="Normal">
      <calculatedColumnFormula>24*25.4</calculatedColumnFormula>
    </tableColumn>
    <tableColumn id="13" name="d (mm)" dataDxfId="302" dataCellStyle="Normal">
      <calculatedColumnFormula>10.5*25.4</calculatedColumnFormula>
    </tableColumn>
    <tableColumn id="14" name="h (mm)" dataDxfId="301" dataCellStyle="Normal">
      <calculatedColumnFormula>12*25.4</calculatedColumnFormula>
    </tableColumn>
    <tableColumn id="15" name="b (mm)" dataDxfId="300" dataCellStyle="Normal">
      <calculatedColumnFormula>9*25.4</calculatedColumnFormula>
    </tableColumn>
    <tableColumn id="16" name="fc (Mpa)" dataDxfId="299" dataCellStyle="Normal"/>
    <tableColumn id="17" name="As (mm^2)" dataDxfId="298" dataCellStyle="Normal">
      <calculatedColumnFormula>Table112345[[#This Row],[pho (%)]]/100*Table112345[[#This Row],[b (mm)]]*Table112345[[#This Row],[h (mm)]]</calculatedColumnFormula>
    </tableColumn>
    <tableColumn id="18" name="pho (%)" dataDxfId="297" dataCellStyle="Normal">
      <calculatedColumnFormula>AD2/(Table112345[[#This Row],[b (mm)]]*Z2)*100</calculatedColumnFormula>
    </tableColumn>
    <tableColumn id="19" name="fy (Mpa)" dataDxfId="296" dataCellStyle="Normal"/>
    <tableColumn id="23" name="J(mm^4)" dataDxfId="295" dataCellStyle="Normal">
      <calculatedColumnFormula>(1/3-0.21*(MIN(Table112345[[#This Row],[b (mm)]],AA2)/MAX(Table112345[[#This Row],[b (mm)]],AA2))*(MIN(Table112345[[#This Row],[b (mm)]],AA2)^4/(12*MAX(Table112345[[#This Row],[b (mm)]],AA2)^4)))*MAX(Table112345[[#This Row],[b (mm)]],AA2)*MIN(Table112345[[#This Row],[b (mm)]],AA2)^3</calculatedColumnFormula>
    </tableColumn>
    <tableColumn id="24" name="I (mm^4)" dataDxfId="294" dataCellStyle="Normal">
      <calculatedColumnFormula>Table112345[[#This Row],[b (mm)]]*AA2^3/12</calculatedColumnFormula>
    </tableColumn>
    <tableColumn id="25" name="L(mm)" dataDxfId="293" dataCellStyle="Normal">
      <calculatedColumnFormula>78.125*25.4</calculatedColumnFormula>
    </tableColumn>
    <tableColumn id="26" name="Column1"/>
    <tableColumn id="27" name="Column2" dataDxfId="292" dataCellStyle="Normal"/>
    <tableColumn id="30" name="Column3" dataDxfId="291"/>
    <tableColumn id="37" name="Column4" dataDxfId="29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5" name="Table1123456" displayName="Table1123456" ref="A1:AK73" totalsRowShown="0" headerRowDxfId="289" dataDxfId="288" tableBorderDxfId="287">
  <autoFilter ref="A1:AK73"/>
  <sortState ref="A2:T57">
    <sortCondition ref="A1:A57"/>
  </sortState>
  <tableColumns count="37">
    <tableColumn id="1" name="Image Seri" dataDxfId="286"/>
    <tableColumn id="20" name="Image Name" dataDxfId="285" dataCellStyle="Normal"/>
    <tableColumn id="2" name="Final Image name" dataDxfId="284" dataCellStyle="Normal"/>
    <tableColumn id="3" name="d/a" dataDxfId="283" dataCellStyle="Normal">
      <calculatedColumnFormula>Table1123456[[#This Row],[a (mm)]]/Table1123456[[#This Row],[d (mm)]]</calculatedColumnFormula>
    </tableColumn>
    <tableColumn id="4" name="V (KN)" dataDxfId="282" dataCellStyle="Normal"/>
    <tableColumn id="5" name="d" dataDxfId="281" dataCellStyle="Normal">
      <calculatedColumnFormula>Table1123456[[#This Row],[d (mm)]]</calculatedColumnFormula>
    </tableColumn>
    <tableColumn id="6" name="M (KN.mm)" dataDxfId="280" dataCellStyle="Normal">
      <calculatedColumnFormula>E2*W2</calculatedColumnFormula>
    </tableColumn>
    <tableColumn id="7" name="M/EI" dataDxfId="279" dataCellStyle="Normal">
      <calculatedColumnFormula>G2/($AJ$5*AF2*0.001)</calculatedColumnFormula>
    </tableColumn>
    <tableColumn id="8" name="M/bd^2" dataDxfId="278" dataCellStyle="Normal">
      <calculatedColumnFormula>G2/(Table1123456[[#This Row],[b (mm)]]*X2^2)</calculatedColumnFormula>
    </tableColumn>
    <tableColumn id="9" name="M/(As fy d)" dataDxfId="277" dataCellStyle="Normal">
      <calculatedColumnFormula>G2/(AB2*AD2*X2*0.001)</calculatedColumnFormula>
    </tableColumn>
    <tableColumn id="10" name="V/(GJ)" dataDxfId="276" dataCellStyle="Normal">
      <calculatedColumnFormula>E2/($AJ$4*AE2*0.001)</calculatedColumnFormula>
    </tableColumn>
    <tableColumn id="11" name="V/(bd)" dataDxfId="275" dataCellStyle="Normal">
      <calculatedColumnFormula>E2/(Table1123456[[#This Row],[b (mm)]]*X2)</calculatedColumnFormula>
    </tableColumn>
    <tableColumn id="21" name="M/(bd)" dataDxfId="274" dataCellStyle="Normal">
      <calculatedColumnFormula>Table1123456[[#This Row],[M (KN.mm)]]/(Table1123456[[#This Row],[b (mm)]]*Table1123456[[#This Row],[d (mm)]])</calculatedColumnFormula>
    </tableColumn>
    <tableColumn id="22" name="M/bh" dataDxfId="273" dataCellStyle="Normal">
      <calculatedColumnFormula>Table1123456[[#This Row],[M (KN.mm)]]/(Table1123456[[#This Row],[b (mm)]]*Table1123456[[#This Row],[h (mm)]])</calculatedColumnFormula>
    </tableColumn>
    <tableColumn id="28" name="M/(bhl)" dataDxfId="272">
      <calculatedColumnFormula>Table1123456[[#This Row],[M (KN.mm)]]/(Table1123456[[#This Row],[b (mm)]]*Table1123456[[#This Row],[h (mm)]]*Table1123456[[#This Row],[L(mm)]])</calculatedColumnFormula>
    </tableColumn>
    <tableColumn id="29" name="M/(bdl)" dataDxfId="271">
      <calculatedColumnFormula>Table1123456[[#This Row],[M (KN.mm)]]/(Table1123456[[#This Row],[b (mm)]]*Table1123456[[#This Row],[d (mm)]]*Table1123456[[#This Row],[L(mm)]])</calculatedColumnFormula>
    </tableColumn>
    <tableColumn id="31" name="M/(fc bhl)" dataDxfId="270">
      <calculatedColumnFormula>Table1123456[[#This Row],[M (KN.mm)]]/(Table1123456[[#This Row],[b (mm)]]*Table1123456[[#This Row],[h (mm)]]*Table1123456[[#This Row],[L(mm)]]*Table1123456[[#This Row],[fc (Mpa)]])</calculatedColumnFormula>
    </tableColumn>
    <tableColumn id="32" name="M/(bh (l/2))" dataDxfId="269">
      <calculatedColumnFormula>Table1123456[[#This Row],[M (KN.mm)]]/(Table1123456[[#This Row],[b (mm)]]*Table1123456[[#This Row],[h (mm)]]*Table1123456[[#This Row],[L(mm)]]/2)</calculatedColumnFormula>
    </tableColumn>
    <tableColumn id="33" name="M/(abh (l/2))" dataDxfId="268">
      <calculatedColumnFormula>Table1123456[[#This Row],[M (KN.mm)]]/(Table1123456[[#This Row],[a (mm)]]*Table1123456[[#This Row],[b (mm)]]*Table1123456[[#This Row],[h (mm)]]*Table1123456[[#This Row],[L(mm)]]/2)</calculatedColumnFormula>
    </tableColumn>
    <tableColumn id="34" name="M/(rho  EI)" dataDxfId="0">
      <calculatedColumnFormula>G2/($AJ$5*AF2*0.001*Table1123456[[#This Row],[pho (%)]])</calculatedColumnFormula>
    </tableColumn>
    <tableColumn id="35" name="M/(rho  bd)" dataDxfId="267">
      <calculatedColumnFormula>Table1123456[[#This Row],[M (KN.mm)]]/(Table1123456[[#This Row],[b (mm)]]*Table1123456[[#This Row],[d (mm)]]*Table1123456[[#This Row],[pho (%)]])</calculatedColumnFormula>
    </tableColumn>
    <tableColumn id="36" name="V/(fc bha)" dataDxfId="266">
      <calculatedColumnFormula>E2/(Table1123456[[#This Row],[b (mm)]]*Y2*Table1123456[[#This Row],[fc (Mpa)]]*Table1123456[[#This Row],[a (mm)]])</calculatedColumnFormula>
    </tableColumn>
    <tableColumn id="12" name="a (mm)" dataDxfId="265" dataCellStyle="Normal">
      <calculatedColumnFormula>24*25.4</calculatedColumnFormula>
    </tableColumn>
    <tableColumn id="13" name="d (mm)" dataDxfId="264" dataCellStyle="Normal">
      <calculatedColumnFormula>10.5*25.4</calculatedColumnFormula>
    </tableColumn>
    <tableColumn id="14" name="h (mm)" dataDxfId="263" dataCellStyle="Normal">
      <calculatedColumnFormula>12*25.4</calculatedColumnFormula>
    </tableColumn>
    <tableColumn id="15" name="b (mm)" dataDxfId="262" dataCellStyle="Normal">
      <calculatedColumnFormula>9*25.4</calculatedColumnFormula>
    </tableColumn>
    <tableColumn id="16" name="fc (Mpa)" dataDxfId="261" dataCellStyle="Normal"/>
    <tableColumn id="17" name="As (mm^2)" dataDxfId="260" dataCellStyle="Normal">
      <calculatedColumnFormula>Table1123456[[#This Row],[pho (%)]]/100*Table1123456[[#This Row],[b (mm)]]*Table1123456[[#This Row],[h (mm)]]</calculatedColumnFormula>
    </tableColumn>
    <tableColumn id="18" name="pho (%)" dataDxfId="259" dataCellStyle="Normal">
      <calculatedColumnFormula>AB2/(Table1123456[[#This Row],[b (mm)]]*X2)*100</calculatedColumnFormula>
    </tableColumn>
    <tableColumn id="19" name="fy (Mpa)" dataDxfId="258" dataCellStyle="Normal"/>
    <tableColumn id="23" name="J(mm^4)" dataDxfId="257" dataCellStyle="Normal">
      <calculatedColumnFormula>(1/3-0.21*(MIN(Table1123456[[#This Row],[b (mm)]],Y2)/MAX(Table1123456[[#This Row],[b (mm)]],Y2))*(MIN(Table1123456[[#This Row],[b (mm)]],Y2)^4/(12*MAX(Table1123456[[#This Row],[b (mm)]],Y2)^4)))*MAX(Table1123456[[#This Row],[b (mm)]],Y2)*MIN(Table1123456[[#This Row],[b (mm)]],Y2)^3</calculatedColumnFormula>
    </tableColumn>
    <tableColumn id="24" name="I (mm^4)" dataDxfId="256" dataCellStyle="Normal">
      <calculatedColumnFormula>Table1123456[[#This Row],[b (mm)]]*Y2^3/12</calculatedColumnFormula>
    </tableColumn>
    <tableColumn id="25" name="L(mm)" dataDxfId="255" dataCellStyle="Normal">
      <calculatedColumnFormula>78.125*25.4</calculatedColumnFormula>
    </tableColumn>
    <tableColumn id="26" name="Column1" dataDxfId="254" dataCellStyle="Normal"/>
    <tableColumn id="27" name="Column2" dataDxfId="253" dataCellStyle="Normal"/>
    <tableColumn id="30" name="Column3" dataDxfId="252"/>
    <tableColumn id="37" name="Column4" dataDxfId="25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12345791011" displayName="Table112345791011" ref="A1:AM286" totalsRowShown="0" headerRowDxfId="250" dataDxfId="249" tableBorderDxfId="248">
  <autoFilter ref="A1:AM286"/>
  <sortState ref="A2:T57">
    <sortCondition ref="A1:A57"/>
  </sortState>
  <tableColumns count="39">
    <tableColumn id="1" name="Image Seri" dataDxfId="247"/>
    <tableColumn id="20" name="Image Name" dataDxfId="246"/>
    <tableColumn id="2" name="Final Image name" dataDxfId="245"/>
    <tableColumn id="3" name="d/a" dataDxfId="244"/>
    <tableColumn id="4" name="V (KN)" dataDxfId="243"/>
    <tableColumn id="5" name="d" dataDxfId="242" dataCellStyle="Normal">
      <calculatedColumnFormula>D2/Table112345791011[[#This Row],[L(mm)]]*100</calculatedColumnFormula>
    </tableColumn>
    <tableColumn id="6" name="M (KN.mm)" dataDxfId="241" dataCellStyle="Normal">
      <calculatedColumnFormula>E2*Y2</calculatedColumnFormula>
    </tableColumn>
    <tableColumn id="7" name="M/EI" dataDxfId="240" dataCellStyle="Normal">
      <calculatedColumnFormula>G2/($AL$5*AH2*0.001)</calculatedColumnFormula>
    </tableColumn>
    <tableColumn id="8" name="M/bd^2" dataDxfId="239" dataCellStyle="Normal">
      <calculatedColumnFormula>G2/(Table112345791011[[#This Row],[b (mm)]]*Z2^2)</calculatedColumnFormula>
    </tableColumn>
    <tableColumn id="9" name="M/(As fy d)" dataDxfId="238" dataCellStyle="Normal">
      <calculatedColumnFormula>G2/(AD2*AF2*Z2*0.001)</calculatedColumnFormula>
    </tableColumn>
    <tableColumn id="10" name="V/(GJ)" dataDxfId="237" dataCellStyle="Normal">
      <calculatedColumnFormula>E2/($AL$4*AG2*0.001)</calculatedColumnFormula>
    </tableColumn>
    <tableColumn id="11" name="V/(bd)" dataDxfId="236" dataCellStyle="Normal">
      <calculatedColumnFormula>E2/(Table112345791011[[#This Row],[b (mm)]]*Z2)</calculatedColumnFormula>
    </tableColumn>
    <tableColumn id="21" name="M/(bd)" dataDxfId="235" dataCellStyle="Normal">
      <calculatedColumnFormula>Table112345791011[[#This Row],[M (KN.mm)]]/(Table112345791011[[#This Row],[b (mm)]]*Table112345791011[[#This Row],[d (mm)]])</calculatedColumnFormula>
    </tableColumn>
    <tableColumn id="22" name="M/bh" dataDxfId="234" dataCellStyle="Normal">
      <calculatedColumnFormula>Table112345791011[[#This Row],[M (KN.mm)]]/(Table112345791011[[#This Row],[b (mm)]]*Table112345791011[[#This Row],[h (mm)]])</calculatedColumnFormula>
    </tableColumn>
    <tableColumn id="28" name="M/(bhl)" dataDxfId="233">
      <calculatedColumnFormula>Table112345791011[[#This Row],[M (KN.mm)]]/(Table112345791011[[#This Row],[b (mm)]]*Table112345791011[[#This Row],[h (mm)]]*Table112345791011[[#This Row],[L(mm)]])</calculatedColumnFormula>
    </tableColumn>
    <tableColumn id="29" name="M/(bdl)" dataDxfId="232">
      <calculatedColumnFormula>Table112345791011[[#This Row],[M (KN.mm)]]/(Table112345791011[[#This Row],[b (mm)]]*Table112345791011[[#This Row],[d (mm)]]*Table112345791011[[#This Row],[L(mm)]])</calculatedColumnFormula>
    </tableColumn>
    <tableColumn id="31" name="M/(fc bhl)" dataDxfId="231">
      <calculatedColumnFormula>Table112345791011[[#This Row],[M (KN.mm)]]/(Table112345791011[[#This Row],[b (mm)]]*Table112345791011[[#This Row],[h (mm)]]*Table112345791011[[#This Row],[L(mm)]]*Table112345791011[[#This Row],[fc (Mpa)]])</calculatedColumnFormula>
    </tableColumn>
    <tableColumn id="32" name="M/(bh (l/2))" dataDxfId="230">
      <calculatedColumnFormula>Table112345791011[[#This Row],[M (KN.mm)]]/(Table112345791011[[#This Row],[b (mm)]]*Table112345791011[[#This Row],[h (mm)]]*Table112345791011[[#This Row],[L(mm)]]/2)</calculatedColumnFormula>
    </tableColumn>
    <tableColumn id="33" name="M/(abh (l/2))" dataDxfId="229">
      <calculatedColumnFormula>Table112345791011[[#This Row],[M (KN.mm)]]/(Table112345791011[[#This Row],[a (mm)]]*Table112345791011[[#This Row],[b (mm)]]*Table112345791011[[#This Row],[h (mm)]]*Table112345791011[[#This Row],[L(mm)]]/2)</calculatedColumnFormula>
    </tableColumn>
    <tableColumn id="34" name="M/(rho  EI)" dataDxfId="228">
      <calculatedColumnFormula>Table112345791011[[#This Row],[M (KN.mm)]]/(Table112345791011[[#This Row],[a (mm)]]^2*Table112345791011[[#This Row],[b (mm)]]*Table112345791011[[#This Row],[h (mm)]])</calculatedColumnFormula>
    </tableColumn>
    <tableColumn id="35" name="M/(rho  bd)" dataDxfId="227">
      <calculatedColumnFormula>Table112345791011[[#This Row],[M (KN.mm)]]/(Table112345791011[[#This Row],[b (mm)]]*Table112345791011[[#This Row],[d (mm)]]*Table112345791011[[#This Row],[pho (%)]])</calculatedColumnFormula>
    </tableColumn>
    <tableColumn id="36" name="V/(2*sqrt(fc) bd)" dataDxfId="226">
      <calculatedColumnFormula>E2*224.8/(2*SQRT(Table112345791011[[#This Row],[fc (Mpa)]]*145.037)*Table112345791011[[#This Row],[b (mm)]]*Table112345791011[[#This Row],[d (mm)]]*(1/25.4)^2)</calculatedColumnFormula>
    </tableColumn>
    <tableColumn id="38" name="M/M_fracture" dataDxfId="225">
      <calculatedColumnFormula>Table112345791011[[#This Row],[M (KN.mm)]]/$G$11</calculatedColumnFormula>
    </tableColumn>
    <tableColumn id="39" name="V/(2*sqrt(fc) bd)2" dataDxfId="224">
      <calculatedColumnFormula>Table112345791011[[#This Row],[d (mm)]]/Table112345791011[[#This Row],[a (mm)]]</calculatedColumnFormula>
    </tableColumn>
    <tableColumn id="12" name="a (mm)" dataDxfId="223" dataCellStyle="Normal">
      <calculatedColumnFormula>3.1*Table112345791011[[#This Row],[d (mm)]]</calculatedColumnFormula>
    </tableColumn>
    <tableColumn id="13" name="d (mm)" dataDxfId="222" dataCellStyle="Normal"/>
    <tableColumn id="14" name="h (mm)" dataDxfId="221" dataCellStyle="Normal"/>
    <tableColumn id="15" name="b (mm)" dataDxfId="220" dataCellStyle="Normal"/>
    <tableColumn id="16" name="fc (Mpa)" dataDxfId="219" dataCellStyle="Normal"/>
    <tableColumn id="17" name="As (mm^2)" dataDxfId="218" dataCellStyle="Normal">
      <calculatedColumnFormula>Table112345791011[[#This Row],[pho (%)]]/100*Table112345791011[[#This Row],[b (mm)]]*Table112345791011[[#This Row],[h (mm)]]</calculatedColumnFormula>
    </tableColumn>
    <tableColumn id="18" name="pho (%)" dataDxfId="217" dataCellStyle="Normal">
      <calculatedColumnFormula>0.76+0.22</calculatedColumnFormula>
    </tableColumn>
    <tableColumn id="19" name="fy (Mpa)" dataDxfId="216" dataCellStyle="Normal"/>
    <tableColumn id="23" name="J(mm^4)" dataDxfId="215" dataCellStyle="Normal">
      <calculatedColumnFormula>(1/3-0.21*(MIN(Table112345791011[[#This Row],[b (mm)]],AA2)/MAX(Table112345791011[[#This Row],[b (mm)]],AA2))*(MIN(Table112345791011[[#This Row],[b (mm)]],AA2)^4/(12*MAX(Table112345791011[[#This Row],[b (mm)]],AA2)^4)))*MAX(Table112345791011[[#This Row],[b (mm)]],AA2)*MIN(Table112345791011[[#This Row],[b (mm)]],AA2)^3</calculatedColumnFormula>
    </tableColumn>
    <tableColumn id="24" name="I (mm^4)" dataDxfId="214" dataCellStyle="Normal">
      <calculatedColumnFormula>Table112345791011[[#This Row],[b (mm)]]*AA2^3/12</calculatedColumnFormula>
    </tableColumn>
    <tableColumn id="25" name="L(mm)" dataDxfId="213" dataCellStyle="Normal">
      <calculatedColumnFormula>78.125*25.4</calculatedColumnFormula>
    </tableColumn>
    <tableColumn id="26" name="Column1"/>
    <tableColumn id="27" name="Column2" dataDxfId="212" dataCellStyle="Normal"/>
    <tableColumn id="30" name="Column3" dataDxfId="211"/>
    <tableColumn id="37" name="Column4" dataDxfId="210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6" name="Table1123457" displayName="Table1123457" ref="A1:AM282" totalsRowShown="0" headerRowDxfId="209" dataDxfId="208" tableBorderDxfId="207">
  <autoFilter ref="A1:AM282"/>
  <sortState ref="A2:T57">
    <sortCondition ref="A1:A57"/>
  </sortState>
  <tableColumns count="39">
    <tableColumn id="1" name="Image Seri" dataDxfId="206"/>
    <tableColumn id="20" name="Image Name" dataDxfId="205"/>
    <tableColumn id="2" name="Final Image name" dataDxfId="204"/>
    <tableColumn id="3" name="d/a" dataDxfId="203"/>
    <tableColumn id="4" name="V (KN)"/>
    <tableColumn id="5" name="d" dataDxfId="202" dataCellStyle="Normal">
      <calculatedColumnFormula>D2/Table1123457[[#This Row],[L(mm)]]*100</calculatedColumnFormula>
    </tableColumn>
    <tableColumn id="6" name="M (KN.mm)" dataDxfId="201" dataCellStyle="Normal">
      <calculatedColumnFormula>E2*Y2</calculatedColumnFormula>
    </tableColumn>
    <tableColumn id="7" name="M/EI" dataDxfId="200" dataCellStyle="Normal">
      <calculatedColumnFormula>G2/($AL$5*AH2*0.001)</calculatedColumnFormula>
    </tableColumn>
    <tableColumn id="8" name="M/bd^2" dataDxfId="199" dataCellStyle="Normal">
      <calculatedColumnFormula>G2/(Table1123457[[#This Row],[b (mm)]]*Z2^2)</calculatedColumnFormula>
    </tableColumn>
    <tableColumn id="9" name="M/(As fy d)" dataDxfId="198" dataCellStyle="Normal">
      <calculatedColumnFormula>G2/(AD2*AF2*Z2*0.001)</calculatedColumnFormula>
    </tableColumn>
    <tableColumn id="10" name="V/(GJ)" dataDxfId="197" dataCellStyle="Normal">
      <calculatedColumnFormula>E2/($AL$4*AG2*0.001)</calculatedColumnFormula>
    </tableColumn>
    <tableColumn id="11" name="V/(bd)" dataDxfId="196" dataCellStyle="Normal">
      <calculatedColumnFormula>E2/(Table1123457[[#This Row],[b (mm)]]*Z2)</calculatedColumnFormula>
    </tableColumn>
    <tableColumn id="21" name="M/(bd)" dataDxfId="195" dataCellStyle="Normal">
      <calculatedColumnFormula>Table1123457[[#This Row],[M (KN.mm)]]/(Table1123457[[#This Row],[b (mm)]]*Table1123457[[#This Row],[d (mm)]])</calculatedColumnFormula>
    </tableColumn>
    <tableColumn id="22" name="M/bh" dataDxfId="194" dataCellStyle="Normal">
      <calculatedColumnFormula>Table1123457[[#This Row],[M (KN.mm)]]/(Table1123457[[#This Row],[b (mm)]]*Table1123457[[#This Row],[h (mm)]])</calculatedColumnFormula>
    </tableColumn>
    <tableColumn id="28" name="M/(bhl)" dataDxfId="193">
      <calculatedColumnFormula>Table1123457[[#This Row],[M (KN.mm)]]/(Table1123457[[#This Row],[b (mm)]]*Table1123457[[#This Row],[h (mm)]]*Table1123457[[#This Row],[L(mm)]])</calculatedColumnFormula>
    </tableColumn>
    <tableColumn id="29" name="M/(bdl)" dataDxfId="192">
      <calculatedColumnFormula>Table1123457[[#This Row],[M (KN.mm)]]/(Table1123457[[#This Row],[b (mm)]]*Table1123457[[#This Row],[d (mm)]]*Table1123457[[#This Row],[L(mm)]])</calculatedColumnFormula>
    </tableColumn>
    <tableColumn id="31" name="M/(fc bhl)" dataDxfId="191">
      <calculatedColumnFormula>Table1123457[[#This Row],[M (KN.mm)]]/(Table1123457[[#This Row],[b (mm)]]*Table1123457[[#This Row],[h (mm)]]*Table1123457[[#This Row],[L(mm)]]*Table1123457[[#This Row],[fc (Mpa)]])</calculatedColumnFormula>
    </tableColumn>
    <tableColumn id="32" name="M/(bh (l/2))" dataDxfId="190">
      <calculatedColumnFormula>Table1123457[[#This Row],[M (KN.mm)]]/(Table1123457[[#This Row],[b (mm)]]*Table1123457[[#This Row],[h (mm)]]*Table1123457[[#This Row],[L(mm)]]/2)</calculatedColumnFormula>
    </tableColumn>
    <tableColumn id="33" name="M/(abh (l/2))" dataDxfId="189">
      <calculatedColumnFormula>Table1123457[[#This Row],[M (KN.mm)]]/(Table1123457[[#This Row],[a (mm)]]*Table1123457[[#This Row],[b (mm)]]*Table1123457[[#This Row],[h (mm)]]*Table1123457[[#This Row],[L(mm)]]/2)</calculatedColumnFormula>
    </tableColumn>
    <tableColumn id="34" name="M/(rho  EI)" dataDxfId="188">
      <calculatedColumnFormula>Table1123457[[#This Row],[M (KN.mm)]]/(Table1123457[[#This Row],[a (mm)]]^2*Table1123457[[#This Row],[b (mm)]]*Table1123457[[#This Row],[h (mm)]])</calculatedColumnFormula>
    </tableColumn>
    <tableColumn id="35" name="M/(rho  bd)" dataDxfId="187">
      <calculatedColumnFormula>Table1123457[[#This Row],[M (KN.mm)]]/(Table1123457[[#This Row],[b (mm)]]*Table1123457[[#This Row],[d (mm)]]*Table1123457[[#This Row],[pho (%)]])</calculatedColumnFormula>
    </tableColumn>
    <tableColumn id="36" name="V/(2*sqrt(fc) bd)" dataDxfId="186">
      <calculatedColumnFormula>E2*224.8/(2*SQRT(Table1123457[[#This Row],[fc (Mpa)]]*145.037)*Table1123457[[#This Row],[b (mm)]]*Table1123457[[#This Row],[d (mm)]]*(1/25.4)^2)</calculatedColumnFormula>
    </tableColumn>
    <tableColumn id="38" name="M/M_fracture" dataDxfId="185">
      <calculatedColumnFormula>Table1123457[[#This Row],[M (KN.mm)]]/$G$11</calculatedColumnFormula>
    </tableColumn>
    <tableColumn id="39" name="V/(2*sqrt(fc) bd)2" dataDxfId="184">
      <calculatedColumnFormula>Table1123457[[#This Row],[d (mm)]]/Table1123457[[#This Row],[a (mm)]]</calculatedColumnFormula>
    </tableColumn>
    <tableColumn id="12" name="a (mm)" dataDxfId="183" dataCellStyle="Normal">
      <calculatedColumnFormula>2.95*Table1123457[[#This Row],[d (mm)]]</calculatedColumnFormula>
    </tableColumn>
    <tableColumn id="13" name="d (mm)" dataDxfId="182" dataCellStyle="Normal"/>
    <tableColumn id="14" name="h (mm)" dataDxfId="181" dataCellStyle="Normal"/>
    <tableColumn id="15" name="b (mm)" dataDxfId="180" dataCellStyle="Normal"/>
    <tableColumn id="16" name="fc (Mpa)" dataDxfId="179" dataCellStyle="Normal"/>
    <tableColumn id="17" name="As (mm^2)" dataDxfId="178" dataCellStyle="Normal">
      <calculatedColumnFormula>Table1123457[[#This Row],[pho (%)]]/100*Table1123457[[#This Row],[b (mm)]]*Table1123457[[#This Row],[h (mm)]]</calculatedColumnFormula>
    </tableColumn>
    <tableColumn id="18" name="pho (%)" dataDxfId="177" dataCellStyle="Normal">
      <calculatedColumnFormula>AD2/(Table1123457[[#This Row],[b (mm)]]*Z2)*100</calculatedColumnFormula>
    </tableColumn>
    <tableColumn id="19" name="fy (Mpa)" dataDxfId="176" dataCellStyle="Normal"/>
    <tableColumn id="23" name="J(mm^4)" dataDxfId="175" dataCellStyle="Normal">
      <calculatedColumnFormula>(1/3-0.21*(MIN(Table1123457[[#This Row],[b (mm)]],AA2)/MAX(Table1123457[[#This Row],[b (mm)]],AA2))*(MIN(Table1123457[[#This Row],[b (mm)]],AA2)^4/(12*MAX(Table1123457[[#This Row],[b (mm)]],AA2)^4)))*MAX(Table1123457[[#This Row],[b (mm)]],AA2)*MIN(Table1123457[[#This Row],[b (mm)]],AA2)^3</calculatedColumnFormula>
    </tableColumn>
    <tableColumn id="24" name="I (mm^4)" dataDxfId="174" dataCellStyle="Normal">
      <calculatedColumnFormula>Table1123457[[#This Row],[b (mm)]]*AA2^3/12</calculatedColumnFormula>
    </tableColumn>
    <tableColumn id="25" name="L(mm)" dataDxfId="173" dataCellStyle="Normal">
      <calculatedColumnFormula>78.125*25.4</calculatedColumnFormula>
    </tableColumn>
    <tableColumn id="26" name="Column1"/>
    <tableColumn id="27" name="Column2" dataDxfId="172" dataCellStyle="Normal"/>
    <tableColumn id="30" name="Column3" dataDxfId="171"/>
    <tableColumn id="37" name="Column4" dataDxfId="170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9" name="Table1123457910" displayName="Table1123457910" ref="A1:AM286" totalsRowShown="0" headerRowDxfId="169" dataDxfId="168" tableBorderDxfId="167">
  <autoFilter ref="A1:AM286"/>
  <sortState ref="A2:T57">
    <sortCondition ref="A1:A57"/>
  </sortState>
  <tableColumns count="39">
    <tableColumn id="1" name="Image Seri" dataDxfId="166"/>
    <tableColumn id="20" name="Image Name" dataDxfId="165"/>
    <tableColumn id="2" name="Final Image name" dataDxfId="164"/>
    <tableColumn id="3" name="d/a" dataDxfId="163"/>
    <tableColumn id="4" name="V (KN)" dataDxfId="162"/>
    <tableColumn id="5" name="d" dataDxfId="161" dataCellStyle="Normal">
      <calculatedColumnFormula>D2/Table1123457910[[#This Row],[L(mm)]]*100</calculatedColumnFormula>
    </tableColumn>
    <tableColumn id="6" name="M (KN.mm)" dataDxfId="160" dataCellStyle="Normal">
      <calculatedColumnFormula>E2*Y2</calculatedColumnFormula>
    </tableColumn>
    <tableColumn id="7" name="M/EI" dataDxfId="159" dataCellStyle="Normal">
      <calculatedColumnFormula>G2/($AL$5*AH2*0.001)</calculatedColumnFormula>
    </tableColumn>
    <tableColumn id="8" name="M/bd^2" dataDxfId="158" dataCellStyle="Normal">
      <calculatedColumnFormula>G2/(Table1123457910[[#This Row],[b (mm)]]*Z2^2)</calculatedColumnFormula>
    </tableColumn>
    <tableColumn id="9" name="M/(As fy d)" dataDxfId="157" dataCellStyle="Normal">
      <calculatedColumnFormula>G2/(AD2*AF2*Z2*0.001)</calculatedColumnFormula>
    </tableColumn>
    <tableColumn id="10" name="V/(GJ)" dataDxfId="156" dataCellStyle="Normal">
      <calculatedColumnFormula>E2/($AL$4*AG2*0.001)</calculatedColumnFormula>
    </tableColumn>
    <tableColumn id="11" name="V/(bd)" dataDxfId="155" dataCellStyle="Normal">
      <calculatedColumnFormula>E2/(Table1123457910[[#This Row],[b (mm)]]*Z2)</calculatedColumnFormula>
    </tableColumn>
    <tableColumn id="21" name="M/(bd)" dataDxfId="154" dataCellStyle="Normal">
      <calculatedColumnFormula>Table1123457910[[#This Row],[M (KN.mm)]]/(Table1123457910[[#This Row],[b (mm)]]*Table1123457910[[#This Row],[d (mm)]])</calculatedColumnFormula>
    </tableColumn>
    <tableColumn id="22" name="M/bh" dataDxfId="153" dataCellStyle="Normal">
      <calculatedColumnFormula>Table1123457910[[#This Row],[M (KN.mm)]]/(Table1123457910[[#This Row],[b (mm)]]*Table1123457910[[#This Row],[h (mm)]])</calculatedColumnFormula>
    </tableColumn>
    <tableColumn id="28" name="M/(bhl)" dataDxfId="152">
      <calculatedColumnFormula>Table1123457910[[#This Row],[M (KN.mm)]]/(Table1123457910[[#This Row],[b (mm)]]*Table1123457910[[#This Row],[h (mm)]]*Table1123457910[[#This Row],[L(mm)]])</calculatedColumnFormula>
    </tableColumn>
    <tableColumn id="29" name="M/(bdl)" dataDxfId="151">
      <calculatedColumnFormula>Table1123457910[[#This Row],[M (KN.mm)]]/(Table1123457910[[#This Row],[b (mm)]]*Table1123457910[[#This Row],[d (mm)]]*Table1123457910[[#This Row],[L(mm)]])</calculatedColumnFormula>
    </tableColumn>
    <tableColumn id="31" name="M/(fc bhl)" dataDxfId="150">
      <calculatedColumnFormula>Table1123457910[[#This Row],[M (KN.mm)]]/(Table1123457910[[#This Row],[b (mm)]]*Table1123457910[[#This Row],[h (mm)]]*Table1123457910[[#This Row],[L(mm)]]*Table1123457910[[#This Row],[fc (Mpa)]])</calculatedColumnFormula>
    </tableColumn>
    <tableColumn id="32" name="M/(bh (l/2))" dataDxfId="149">
      <calculatedColumnFormula>Table1123457910[[#This Row],[M (KN.mm)]]/(Table1123457910[[#This Row],[b (mm)]]*Table1123457910[[#This Row],[h (mm)]]*Table1123457910[[#This Row],[L(mm)]]/2)</calculatedColumnFormula>
    </tableColumn>
    <tableColumn id="33" name="M/(abh (l/2))" dataDxfId="148">
      <calculatedColumnFormula>Table1123457910[[#This Row],[M (KN.mm)]]/(Table1123457910[[#This Row],[a (mm)]]*Table1123457910[[#This Row],[b (mm)]]*Table1123457910[[#This Row],[h (mm)]]*Table1123457910[[#This Row],[L(mm)]]/2)</calculatedColumnFormula>
    </tableColumn>
    <tableColumn id="34" name="M/(rho  EI)" dataDxfId="147">
      <calculatedColumnFormula>Table1123457910[[#This Row],[M (KN.mm)]]/(Table1123457910[[#This Row],[a (mm)]]^2*Table1123457910[[#This Row],[b (mm)]]*Table1123457910[[#This Row],[h (mm)]])</calculatedColumnFormula>
    </tableColumn>
    <tableColumn id="35" name="M/(rho  bd)" dataDxfId="146">
      <calculatedColumnFormula>Table1123457910[[#This Row],[M (KN.mm)]]/(Table1123457910[[#This Row],[b (mm)]]*Table1123457910[[#This Row],[d (mm)]]*Table1123457910[[#This Row],[pho (%)]])</calculatedColumnFormula>
    </tableColumn>
    <tableColumn id="36" name="V/(2*sqrt(fc) bd)" dataDxfId="145">
      <calculatedColumnFormula>E2*224.8/(2*SQRT(Table1123457910[[#This Row],[fc (Mpa)]]*145.037)*Table1123457910[[#This Row],[b (mm)]]*Table1123457910[[#This Row],[d (mm)]]*(1/25.4)^2)</calculatedColumnFormula>
    </tableColumn>
    <tableColumn id="38" name="M/M_fracture" dataDxfId="144">
      <calculatedColumnFormula>Table1123457910[[#This Row],[M (KN.mm)]]/$G$11</calculatedColumnFormula>
    </tableColumn>
    <tableColumn id="39" name="V/(2*sqrt(fc) bd)2" dataDxfId="143">
      <calculatedColumnFormula>Table1123457910[[#This Row],[d (mm)]]/Table1123457910[[#This Row],[a (mm)]]</calculatedColumnFormula>
    </tableColumn>
    <tableColumn id="12" name="a (mm)" dataDxfId="142" dataCellStyle="Normal">
      <calculatedColumnFormula>3.1*Table1123457910[[#This Row],[d (mm)]]</calculatedColumnFormula>
    </tableColumn>
    <tableColumn id="13" name="d (mm)" dataDxfId="141" dataCellStyle="Normal"/>
    <tableColumn id="14" name="h (mm)" dataDxfId="140" dataCellStyle="Normal"/>
    <tableColumn id="15" name="b (mm)" dataDxfId="139" dataCellStyle="Normal"/>
    <tableColumn id="16" name="fc (Mpa)" dataDxfId="138" dataCellStyle="Normal"/>
    <tableColumn id="17" name="As (mm^2)" dataDxfId="137" dataCellStyle="Normal">
      <calculatedColumnFormula>Table1123457910[[#This Row],[pho (%)]]/100*Table1123457910[[#This Row],[b (mm)]]*Table1123457910[[#This Row],[h (mm)]]</calculatedColumnFormula>
    </tableColumn>
    <tableColumn id="18" name="pho (%)" dataDxfId="136" dataCellStyle="Normal">
      <calculatedColumnFormula>0.76+0.22</calculatedColumnFormula>
    </tableColumn>
    <tableColumn id="19" name="fy (Mpa)" dataDxfId="135" dataCellStyle="Normal"/>
    <tableColumn id="23" name="J(mm^4)" dataDxfId="134" dataCellStyle="Normal">
      <calculatedColumnFormula>(1/3-0.21*(MIN(Table1123457910[[#This Row],[b (mm)]],AA2)/MAX(Table1123457910[[#This Row],[b (mm)]],AA2))*(MIN(Table1123457910[[#This Row],[b (mm)]],AA2)^4/(12*MAX(Table1123457910[[#This Row],[b (mm)]],AA2)^4)))*MAX(Table1123457910[[#This Row],[b (mm)]],AA2)*MIN(Table1123457910[[#This Row],[b (mm)]],AA2)^3</calculatedColumnFormula>
    </tableColumn>
    <tableColumn id="24" name="I (mm^4)" dataDxfId="133" dataCellStyle="Normal">
      <calculatedColumnFormula>Table1123457910[[#This Row],[b (mm)]]*AA2^3/12</calculatedColumnFormula>
    </tableColumn>
    <tableColumn id="25" name="L(mm)" dataDxfId="132" dataCellStyle="Normal">
      <calculatedColumnFormula>78.125*25.4</calculatedColumnFormula>
    </tableColumn>
    <tableColumn id="26" name="Column1" dataDxfId="131" dataCellStyle="Normal"/>
    <tableColumn id="27" name="Column2" dataDxfId="130" dataCellStyle="Normal"/>
    <tableColumn id="30" name="Column3" dataDxfId="129"/>
    <tableColumn id="37" name="Column4" dataDxfId="128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12345791014" displayName="Table112345791014" ref="A1:AM286" totalsRowShown="0" headerRowDxfId="127" dataDxfId="126" tableBorderDxfId="125">
  <autoFilter ref="A1:AM286"/>
  <sortState ref="A2:T57">
    <sortCondition ref="A1:A57"/>
  </sortState>
  <tableColumns count="39">
    <tableColumn id="1" name="Image Seri" dataDxfId="124"/>
    <tableColumn id="20" name="Image Name" dataDxfId="123"/>
    <tableColumn id="2" name="Final Image name" dataDxfId="122"/>
    <tableColumn id="3" name="d/a" dataDxfId="121"/>
    <tableColumn id="4" name="V (KN)" dataDxfId="120"/>
    <tableColumn id="5" name="d" dataDxfId="119" dataCellStyle="Normal">
      <calculatedColumnFormula>D2/Table112345791014[[#This Row],[L(mm)]]*100</calculatedColumnFormula>
    </tableColumn>
    <tableColumn id="6" name="M (KN.mm)" dataDxfId="118" dataCellStyle="Normal">
      <calculatedColumnFormula>E2*Y2</calculatedColumnFormula>
    </tableColumn>
    <tableColumn id="7" name="M/EI" dataDxfId="117" dataCellStyle="Normal">
      <calculatedColumnFormula>G2/($AL$5*AH2*0.001)</calculatedColumnFormula>
    </tableColumn>
    <tableColumn id="8" name="M/bd^2" dataDxfId="116" dataCellStyle="Normal">
      <calculatedColumnFormula>G2/(Table112345791014[[#This Row],[b (mm)]]*Z2^2)</calculatedColumnFormula>
    </tableColumn>
    <tableColumn id="9" name="M/(As fy d)" dataDxfId="115" dataCellStyle="Normal">
      <calculatedColumnFormula>G2/(AD2*AF2*Z2*0.001)</calculatedColumnFormula>
    </tableColumn>
    <tableColumn id="10" name="V/(GJ)" dataDxfId="114" dataCellStyle="Normal">
      <calculatedColumnFormula>E2/($AL$4*AG2*0.001)</calculatedColumnFormula>
    </tableColumn>
    <tableColumn id="11" name="V/(bd)" dataDxfId="113" dataCellStyle="Normal">
      <calculatedColumnFormula>E2/(Table112345791014[[#This Row],[b (mm)]]*Z2)</calculatedColumnFormula>
    </tableColumn>
    <tableColumn id="21" name="M/(bd)" dataDxfId="112" dataCellStyle="Normal">
      <calculatedColumnFormula>Table112345791014[[#This Row],[M (KN.mm)]]/(Table112345791014[[#This Row],[b (mm)]]*Table112345791014[[#This Row],[d (mm)]])</calculatedColumnFormula>
    </tableColumn>
    <tableColumn id="22" name="M/bh" dataDxfId="111" dataCellStyle="Normal">
      <calculatedColumnFormula>Table112345791014[[#This Row],[M (KN.mm)]]/(Table112345791014[[#This Row],[b (mm)]]*Table112345791014[[#This Row],[h (mm)]])</calculatedColumnFormula>
    </tableColumn>
    <tableColumn id="28" name="M/(bhl)" dataDxfId="110">
      <calculatedColumnFormula>Table112345791014[[#This Row],[M (KN.mm)]]/(Table112345791014[[#This Row],[b (mm)]]*Table112345791014[[#This Row],[h (mm)]]*Table112345791014[[#This Row],[L(mm)]])</calculatedColumnFormula>
    </tableColumn>
    <tableColumn id="29" name="M/(bdl)" dataDxfId="109">
      <calculatedColumnFormula>Table112345791014[[#This Row],[M (KN.mm)]]/(Table112345791014[[#This Row],[b (mm)]]*Table112345791014[[#This Row],[d (mm)]]*Table112345791014[[#This Row],[L(mm)]])</calculatedColumnFormula>
    </tableColumn>
    <tableColumn id="31" name="M/(fc bhl)" dataDxfId="108">
      <calculatedColumnFormula>Table112345791014[[#This Row],[M (KN.mm)]]/(Table112345791014[[#This Row],[b (mm)]]*Table112345791014[[#This Row],[h (mm)]]*Table112345791014[[#This Row],[L(mm)]]*Table112345791014[[#This Row],[fc (Mpa)]])</calculatedColumnFormula>
    </tableColumn>
    <tableColumn id="32" name="M/(bh (l/2))" dataDxfId="107">
      <calculatedColumnFormula>Table112345791014[[#This Row],[M (KN.mm)]]/(Table112345791014[[#This Row],[b (mm)]]*Table112345791014[[#This Row],[h (mm)]]*Table112345791014[[#This Row],[L(mm)]]/2)</calculatedColumnFormula>
    </tableColumn>
    <tableColumn id="33" name="M/(abh (l/2))" dataDxfId="106">
      <calculatedColumnFormula>Table112345791014[[#This Row],[M (KN.mm)]]/(Table112345791014[[#This Row],[a (mm)]]*Table112345791014[[#This Row],[b (mm)]]*Table112345791014[[#This Row],[h (mm)]]*Table112345791014[[#This Row],[L(mm)]]/2)</calculatedColumnFormula>
    </tableColumn>
    <tableColumn id="34" name="M/(rho  EI)" dataDxfId="105">
      <calculatedColumnFormula>Table112345791014[[#This Row],[M (KN.mm)]]/(Table112345791014[[#This Row],[a (mm)]]^2*Table112345791014[[#This Row],[b (mm)]]*Table112345791014[[#This Row],[h (mm)]])</calculatedColumnFormula>
    </tableColumn>
    <tableColumn id="35" name="M/(rho  bd)" dataDxfId="104">
      <calculatedColumnFormula>Table112345791014[[#This Row],[M (KN.mm)]]/(Table112345791014[[#This Row],[b (mm)]]*Table112345791014[[#This Row],[d (mm)]]*Table112345791014[[#This Row],[pho (%)]])</calculatedColumnFormula>
    </tableColumn>
    <tableColumn id="36" name="V/(2*sqrt(fc) bd)" dataDxfId="103">
      <calculatedColumnFormula>E2*224.8/(2*SQRT(Table112345791014[[#This Row],[fc (Mpa)]]*145.037)*Table112345791014[[#This Row],[b (mm)]]*Table112345791014[[#This Row],[d (mm)]]*(1/25.4)^2)</calculatedColumnFormula>
    </tableColumn>
    <tableColumn id="38" name="M/M_fracture" dataDxfId="102">
      <calculatedColumnFormula>Table112345791014[[#This Row],[M (KN.mm)]]/$G$11</calculatedColumnFormula>
    </tableColumn>
    <tableColumn id="39" name="V/(2*sqrt(fc) bd)2" dataDxfId="101">
      <calculatedColumnFormula>Table112345791014[[#This Row],[d (mm)]]/Table112345791014[[#This Row],[a (mm)]]</calculatedColumnFormula>
    </tableColumn>
    <tableColumn id="12" name="a (mm)" dataDxfId="100" dataCellStyle="Normal">
      <calculatedColumnFormula>3.1*Table112345791014[[#This Row],[d (mm)]]</calculatedColumnFormula>
    </tableColumn>
    <tableColumn id="13" name="d (mm)" dataDxfId="99" dataCellStyle="Normal"/>
    <tableColumn id="14" name="h (mm)" dataDxfId="98" dataCellStyle="Normal"/>
    <tableColumn id="15" name="b (mm)" dataDxfId="97" dataCellStyle="Normal"/>
    <tableColumn id="16" name="fc (Mpa)" dataDxfId="96" dataCellStyle="Normal"/>
    <tableColumn id="17" name="As (mm^2)" dataDxfId="95" dataCellStyle="Normal">
      <calculatedColumnFormula>Table112345791014[[#This Row],[pho (%)]]/100*Table112345791014[[#This Row],[b (mm)]]*Table112345791014[[#This Row],[h (mm)]]</calculatedColumnFormula>
    </tableColumn>
    <tableColumn id="18" name="pho (%)" dataDxfId="94" dataCellStyle="Normal">
      <calculatedColumnFormula>0.76+0.22</calculatedColumnFormula>
    </tableColumn>
    <tableColumn id="19" name="fy (Mpa)" dataDxfId="93" dataCellStyle="Normal"/>
    <tableColumn id="23" name="J(mm^4)" dataDxfId="92" dataCellStyle="Normal">
      <calculatedColumnFormula>(1/3-0.21*(MIN(Table112345791014[[#This Row],[b (mm)]],AA2)/MAX(Table112345791014[[#This Row],[b (mm)]],AA2))*(MIN(Table112345791014[[#This Row],[b (mm)]],AA2)^4/(12*MAX(Table112345791014[[#This Row],[b (mm)]],AA2)^4)))*MAX(Table112345791014[[#This Row],[b (mm)]],AA2)*MIN(Table112345791014[[#This Row],[b (mm)]],AA2)^3</calculatedColumnFormula>
    </tableColumn>
    <tableColumn id="24" name="I (mm^4)" dataDxfId="91" dataCellStyle="Normal">
      <calculatedColumnFormula>Table112345791014[[#This Row],[b (mm)]]*AA2^3/12</calculatedColumnFormula>
    </tableColumn>
    <tableColumn id="25" name="L(mm)" dataDxfId="90" dataCellStyle="Normal">
      <calculatedColumnFormula>78.125*25.4</calculatedColumnFormula>
    </tableColumn>
    <tableColumn id="26" name="Column1"/>
    <tableColumn id="27" name="Column2" dataDxfId="89" dataCellStyle="Normal"/>
    <tableColumn id="30" name="Column3" dataDxfId="88"/>
    <tableColumn id="37" name="Column4" dataDxfId="87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123457913" displayName="Table1123457913" ref="A1:AM279" totalsRowShown="0" headerRowDxfId="86" dataDxfId="85" tableBorderDxfId="84">
  <autoFilter ref="A1:AM279"/>
  <sortState ref="A2:T57">
    <sortCondition ref="A1:A57"/>
  </sortState>
  <tableColumns count="39">
    <tableColumn id="1" name="Image Seri" dataDxfId="83"/>
    <tableColumn id="20" name="Image Name" dataDxfId="82"/>
    <tableColumn id="2" name="Final Image name" dataDxfId="81"/>
    <tableColumn id="3" name="d/a" dataDxfId="80"/>
    <tableColumn id="4" name="V (KN)" dataDxfId="79"/>
    <tableColumn id="5" name="d" dataDxfId="78" dataCellStyle="Normal">
      <calculatedColumnFormula>D2/Table1123457913[[#This Row],[L(mm)]]*100</calculatedColumnFormula>
    </tableColumn>
    <tableColumn id="6" name="M (KN.mm)" dataDxfId="77" dataCellStyle="Normal">
      <calculatedColumnFormula>E2*Y2</calculatedColumnFormula>
    </tableColumn>
    <tableColumn id="7" name="M/EI" dataDxfId="76" dataCellStyle="Normal">
      <calculatedColumnFormula>G2/($AL$5*AH2*0.001)</calculatedColumnFormula>
    </tableColumn>
    <tableColumn id="8" name="M/bd^2" dataDxfId="75" dataCellStyle="Normal">
      <calculatedColumnFormula>G2/(Table1123457913[[#This Row],[b (mm)]]*Z2^2)</calculatedColumnFormula>
    </tableColumn>
    <tableColumn id="9" name="M/(As fy d)" dataDxfId="74" dataCellStyle="Normal">
      <calculatedColumnFormula>G2/(AD2*AF2*Z2*0.001)</calculatedColumnFormula>
    </tableColumn>
    <tableColumn id="10" name="V/(GJ)" dataDxfId="73" dataCellStyle="Normal">
      <calculatedColumnFormula>E2/($AL$4*AG2*0.001)</calculatedColumnFormula>
    </tableColumn>
    <tableColumn id="11" name="V/(bd)" dataDxfId="72" dataCellStyle="Normal">
      <calculatedColumnFormula>E2/(Table1123457913[[#This Row],[b (mm)]]*Z2)</calculatedColumnFormula>
    </tableColumn>
    <tableColumn id="21" name="M/(bd)" dataDxfId="71" dataCellStyle="Normal">
      <calculatedColumnFormula>Table1123457913[[#This Row],[M (KN.mm)]]/(Table1123457913[[#This Row],[b (mm)]]*Table1123457913[[#This Row],[d (mm)]])</calculatedColumnFormula>
    </tableColumn>
    <tableColumn id="22" name="M/bh" dataDxfId="70" dataCellStyle="Normal">
      <calculatedColumnFormula>Table1123457913[[#This Row],[M (KN.mm)]]/(Table1123457913[[#This Row],[b (mm)]]*Table1123457913[[#This Row],[h (mm)]])</calculatedColumnFormula>
    </tableColumn>
    <tableColumn id="28" name="M/(bhl)" dataDxfId="69">
      <calculatedColumnFormula>Table1123457913[[#This Row],[M (KN.mm)]]/(Table1123457913[[#This Row],[b (mm)]]*Table1123457913[[#This Row],[h (mm)]]*Table1123457913[[#This Row],[L(mm)]])</calculatedColumnFormula>
    </tableColumn>
    <tableColumn id="29" name="M/(bdl)" dataDxfId="68">
      <calculatedColumnFormula>Table1123457913[[#This Row],[M (KN.mm)]]/(Table1123457913[[#This Row],[b (mm)]]*Table1123457913[[#This Row],[d (mm)]]*Table1123457913[[#This Row],[L(mm)]])</calculatedColumnFormula>
    </tableColumn>
    <tableColumn id="31" name="M/(fc bhl)" dataDxfId="67">
      <calculatedColumnFormula>Table1123457913[[#This Row],[M (KN.mm)]]/(Table1123457913[[#This Row],[b (mm)]]*Table1123457913[[#This Row],[h (mm)]]*Table1123457913[[#This Row],[L(mm)]]*Table1123457913[[#This Row],[fc (Mpa)]])</calculatedColumnFormula>
    </tableColumn>
    <tableColumn id="32" name="M/(bh (l/2))" dataDxfId="66">
      <calculatedColumnFormula>Table1123457913[[#This Row],[M (KN.mm)]]/(Table1123457913[[#This Row],[b (mm)]]*Table1123457913[[#This Row],[h (mm)]]*Table1123457913[[#This Row],[L(mm)]]/2)</calculatedColumnFormula>
    </tableColumn>
    <tableColumn id="33" name="M/(abh (l/2))" dataDxfId="65">
      <calculatedColumnFormula>Table1123457913[[#This Row],[M (KN.mm)]]/(Table1123457913[[#This Row],[a (mm)]]*Table1123457913[[#This Row],[b (mm)]]*Table1123457913[[#This Row],[h (mm)]]*Table1123457913[[#This Row],[L(mm)]]/2)</calculatedColumnFormula>
    </tableColumn>
    <tableColumn id="34" name="M/(rho  EI)" dataDxfId="64">
      <calculatedColumnFormula>Table1123457913[[#This Row],[M (KN.mm)]]/(Table1123457913[[#This Row],[a (mm)]]^2*Table1123457913[[#This Row],[b (mm)]]*Table1123457913[[#This Row],[h (mm)]])</calculatedColumnFormula>
    </tableColumn>
    <tableColumn id="35" name="M/(rho  bd)" dataDxfId="63">
      <calculatedColumnFormula>Table1123457913[[#This Row],[M (KN.mm)]]/(Table1123457913[[#This Row],[b (mm)]]*Table1123457913[[#This Row],[d (mm)]]*Table1123457913[[#This Row],[pho (%)]])</calculatedColumnFormula>
    </tableColumn>
    <tableColumn id="36" name="V/(2*sqrt(fc) bd)" dataDxfId="62">
      <calculatedColumnFormula>E2*224.8/(2*SQRT(Table1123457913[[#This Row],[fc (Mpa)]]*145.037)*Table1123457913[[#This Row],[b (mm)]]*Table1123457913[[#This Row],[d (mm)]]*(1/25.4)^2)</calculatedColumnFormula>
    </tableColumn>
    <tableColumn id="38" name="M/M_fracture" dataDxfId="61">
      <calculatedColumnFormula>Table1123457913[[#This Row],[M (KN.mm)]]/$G$11</calculatedColumnFormula>
    </tableColumn>
    <tableColumn id="39" name="V/(2*sqrt(fc) bd)2" dataDxfId="60">
      <calculatedColumnFormula>Table1123457913[[#This Row],[d (mm)]]/Table1123457913[[#This Row],[a (mm)]]</calculatedColumnFormula>
    </tableColumn>
    <tableColumn id="12" name="a (mm)" dataDxfId="59" dataCellStyle="Normal">
      <calculatedColumnFormula>4800/2</calculatedColumnFormula>
    </tableColumn>
    <tableColumn id="13" name="d (mm)" dataDxfId="58" dataCellStyle="Normal"/>
    <tableColumn id="14" name="h (mm)" dataDxfId="57" dataCellStyle="Normal"/>
    <tableColumn id="15" name="b (mm)" dataDxfId="56" dataCellStyle="Normal"/>
    <tableColumn id="16" name="fc (Mpa)" dataDxfId="55" dataCellStyle="Normal"/>
    <tableColumn id="17" name="As (mm^2)" dataDxfId="54" dataCellStyle="Normal">
      <calculatedColumnFormula>Table1123457913[[#This Row],[pho (%)]]/100*Table1123457913[[#This Row],[b (mm)]]*Table1123457913[[#This Row],[h (mm)]]</calculatedColumnFormula>
    </tableColumn>
    <tableColumn id="18" name="pho (%)" dataDxfId="53" dataCellStyle="Normal">
      <calculatedColumnFormula>0.76+0.22</calculatedColumnFormula>
    </tableColumn>
    <tableColumn id="19" name="fy (Mpa)" dataDxfId="52" dataCellStyle="Normal"/>
    <tableColumn id="23" name="J(mm^4)" dataDxfId="51" dataCellStyle="Normal">
      <calculatedColumnFormula>(1/3-0.21*(MIN(Table1123457913[[#This Row],[b (mm)]],AA2)/MAX(Table1123457913[[#This Row],[b (mm)]],AA2))*(MIN(Table1123457913[[#This Row],[b (mm)]],AA2)^4/(12*MAX(Table1123457913[[#This Row],[b (mm)]],AA2)^4)))*MAX(Table1123457913[[#This Row],[b (mm)]],AA2)*MIN(Table1123457913[[#This Row],[b (mm)]],AA2)^3</calculatedColumnFormula>
    </tableColumn>
    <tableColumn id="24" name="I (mm^4)" dataDxfId="50" dataCellStyle="Normal">
      <calculatedColumnFormula>Table1123457913[[#This Row],[b (mm)]]*AA2^3/12</calculatedColumnFormula>
    </tableColumn>
    <tableColumn id="25" name="L(mm)" dataDxfId="49" dataCellStyle="Normal">
      <calculatedColumnFormula>78.125*25.4</calculatedColumnFormula>
    </tableColumn>
    <tableColumn id="26" name="Column1"/>
    <tableColumn id="27" name="Column2" dataDxfId="48" dataCellStyle="Normal"/>
    <tableColumn id="30" name="Column3" dataDxfId="47"/>
    <tableColumn id="37" name="Column4" dataDxfId="46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8" name="Table11234579" displayName="Table11234579" ref="A1:AM286" totalsRowShown="0" headerRowDxfId="45" dataDxfId="44" tableBorderDxfId="43">
  <autoFilter ref="A1:AM286"/>
  <sortState ref="A2:T57">
    <sortCondition ref="A1:A57"/>
  </sortState>
  <tableColumns count="39">
    <tableColumn id="1" name="Image Seri" dataDxfId="42"/>
    <tableColumn id="20" name="Image Name" dataDxfId="41"/>
    <tableColumn id="2" name="Final Image name" dataDxfId="40"/>
    <tableColumn id="3" name="d/a" dataDxfId="39"/>
    <tableColumn id="4" name="V (KN)" dataDxfId="38"/>
    <tableColumn id="5" name="d" dataDxfId="37" dataCellStyle="Normal">
      <calculatedColumnFormula>D2/Table11234579[[#This Row],[L(mm)]]*100</calculatedColumnFormula>
    </tableColumn>
    <tableColumn id="6" name="M (KN.mm)" dataDxfId="36" dataCellStyle="Normal">
      <calculatedColumnFormula>E2*Y2</calculatedColumnFormula>
    </tableColumn>
    <tableColumn id="7" name="M/EI" dataDxfId="35" dataCellStyle="Normal">
      <calculatedColumnFormula>G2/($AL$5*AH2*0.001)</calculatedColumnFormula>
    </tableColumn>
    <tableColumn id="8" name="M/bd^2" dataDxfId="34" dataCellStyle="Normal">
      <calculatedColumnFormula>G2/(Table11234579[[#This Row],[b (mm)]]*Z2^2)</calculatedColumnFormula>
    </tableColumn>
    <tableColumn id="9" name="M/(As fy d)" dataDxfId="33" dataCellStyle="Normal">
      <calculatedColumnFormula>G2/(AD2*AF2*Z2*0.001)</calculatedColumnFormula>
    </tableColumn>
    <tableColumn id="10" name="V/(GJ)" dataDxfId="32" dataCellStyle="Normal">
      <calculatedColumnFormula>E2/($AL$4*AG2*0.001)</calculatedColumnFormula>
    </tableColumn>
    <tableColumn id="11" name="V/(bd)" dataDxfId="31" dataCellStyle="Normal">
      <calculatedColumnFormula>E2/(Table11234579[[#This Row],[b (mm)]]*Z2)</calculatedColumnFormula>
    </tableColumn>
    <tableColumn id="21" name="M/(bd)" dataDxfId="30" dataCellStyle="Normal">
      <calculatedColumnFormula>Table11234579[[#This Row],[M (KN.mm)]]/(Table11234579[[#This Row],[b (mm)]]*Table11234579[[#This Row],[d (mm)]])</calculatedColumnFormula>
    </tableColumn>
    <tableColumn id="22" name="M/bh" dataDxfId="29" dataCellStyle="Normal">
      <calculatedColumnFormula>Table11234579[[#This Row],[M (KN.mm)]]/(Table11234579[[#This Row],[b (mm)]]*Table11234579[[#This Row],[h (mm)]])</calculatedColumnFormula>
    </tableColumn>
    <tableColumn id="28" name="M/(bhl)" dataDxfId="28">
      <calculatedColumnFormula>Table11234579[[#This Row],[M (KN.mm)]]/(Table11234579[[#This Row],[b (mm)]]*Table11234579[[#This Row],[h (mm)]]*Table11234579[[#This Row],[L(mm)]])</calculatedColumnFormula>
    </tableColumn>
    <tableColumn id="29" name="M/(bdl)" dataDxfId="27">
      <calculatedColumnFormula>Table11234579[[#This Row],[M (KN.mm)]]/(Table11234579[[#This Row],[b (mm)]]*Table11234579[[#This Row],[d (mm)]]*Table11234579[[#This Row],[L(mm)]])</calculatedColumnFormula>
    </tableColumn>
    <tableColumn id="31" name="M/(fc bhl)" dataDxfId="26">
      <calculatedColumnFormula>Table11234579[[#This Row],[M (KN.mm)]]/(Table11234579[[#This Row],[b (mm)]]*Table11234579[[#This Row],[h (mm)]]*Table11234579[[#This Row],[L(mm)]]*Table11234579[[#This Row],[fc (Mpa)]])</calculatedColumnFormula>
    </tableColumn>
    <tableColumn id="32" name="M/(bh (l/2))" dataDxfId="25">
      <calculatedColumnFormula>Table11234579[[#This Row],[M (KN.mm)]]/(Table11234579[[#This Row],[b (mm)]]*Table11234579[[#This Row],[h (mm)]]*Table11234579[[#This Row],[L(mm)]]/2)</calculatedColumnFormula>
    </tableColumn>
    <tableColumn id="33" name="M/(abh (l/2))" dataDxfId="24">
      <calculatedColumnFormula>Table11234579[[#This Row],[M (KN.mm)]]/(Table11234579[[#This Row],[a (mm)]]*Table11234579[[#This Row],[b (mm)]]*Table11234579[[#This Row],[h (mm)]]*Table11234579[[#This Row],[L(mm)]]/2)</calculatedColumnFormula>
    </tableColumn>
    <tableColumn id="34" name="M/(rho  EI)" dataDxfId="23">
      <calculatedColumnFormula>Table11234579[[#This Row],[M (KN.mm)]]/(Table11234579[[#This Row],[a (mm)]]^2*Table11234579[[#This Row],[b (mm)]]*Table11234579[[#This Row],[h (mm)]])</calculatedColumnFormula>
    </tableColumn>
    <tableColumn id="35" name="M/(rho  bd)" dataDxfId="22">
      <calculatedColumnFormula>Table11234579[[#This Row],[M (KN.mm)]]/(Table11234579[[#This Row],[b (mm)]]*Table11234579[[#This Row],[d (mm)]]*Table11234579[[#This Row],[pho (%)]])</calculatedColumnFormula>
    </tableColumn>
    <tableColumn id="36" name="V/(2*sqrt(fc) bd)" dataDxfId="21">
      <calculatedColumnFormula>E2*224.8/(2*SQRT(Table11234579[[#This Row],[fc (Mpa)]]*145.037)*Table11234579[[#This Row],[b (mm)]]*Table11234579[[#This Row],[d (mm)]]*(1/25.4)^2)</calculatedColumnFormula>
    </tableColumn>
    <tableColumn id="38" name="M/M_fracture" dataDxfId="20">
      <calculatedColumnFormula>Table11234579[[#This Row],[M (KN.mm)]]/$G$11</calculatedColumnFormula>
    </tableColumn>
    <tableColumn id="39" name="V/(2*sqrt(fc) bd)2" dataDxfId="19">
      <calculatedColumnFormula>Table11234579[[#This Row],[d (mm)]]/Table11234579[[#This Row],[a (mm)]]</calculatedColumnFormula>
    </tableColumn>
    <tableColumn id="12" name="a (mm)" dataDxfId="18" dataCellStyle="Normal">
      <calculatedColumnFormula>4800/2</calculatedColumnFormula>
    </tableColumn>
    <tableColumn id="13" name="d (mm)" dataDxfId="17" dataCellStyle="Normal"/>
    <tableColumn id="14" name="h (mm)" dataDxfId="16" dataCellStyle="Normal"/>
    <tableColumn id="15" name="b (mm)" dataDxfId="15" dataCellStyle="Normal"/>
    <tableColumn id="16" name="fc (Mpa)" dataDxfId="14" dataCellStyle="Normal"/>
    <tableColumn id="17" name="As (mm^2)" dataDxfId="13" dataCellStyle="Normal">
      <calculatedColumnFormula>Table11234579[[#This Row],[pho (%)]]/100*Table11234579[[#This Row],[b (mm)]]*Table11234579[[#This Row],[h (mm)]]</calculatedColumnFormula>
    </tableColumn>
    <tableColumn id="18" name="pho (%)" dataDxfId="12" dataCellStyle="Normal">
      <calculatedColumnFormula>0.76+0.22</calculatedColumnFormula>
    </tableColumn>
    <tableColumn id="19" name="fy (Mpa)" dataDxfId="11" dataCellStyle="Normal"/>
    <tableColumn id="23" name="J(mm^4)" dataDxfId="10" dataCellStyle="Normal">
      <calculatedColumnFormula>(1/3-0.21*(MIN(Table11234579[[#This Row],[b (mm)]],AA2)/MAX(Table11234579[[#This Row],[b (mm)]],AA2))*(MIN(Table11234579[[#This Row],[b (mm)]],AA2)^4/(12*MAX(Table11234579[[#This Row],[b (mm)]],AA2)^4)))*MAX(Table11234579[[#This Row],[b (mm)]],AA2)*MIN(Table11234579[[#This Row],[b (mm)]],AA2)^3</calculatedColumnFormula>
    </tableColumn>
    <tableColumn id="24" name="I (mm^4)" dataDxfId="9" dataCellStyle="Normal">
      <calculatedColumnFormula>Table11234579[[#This Row],[b (mm)]]*AA2^3/12</calculatedColumnFormula>
    </tableColumn>
    <tableColumn id="25" name="L(mm)" dataDxfId="8" dataCellStyle="Normal">
      <calculatedColumnFormula>78.125*25.4</calculatedColumnFormula>
    </tableColumn>
    <tableColumn id="26" name="Column1" dataDxfId="7" dataCellStyle="Normal"/>
    <tableColumn id="27" name="Column2" dataDxfId="6" dataCellStyle="Normal"/>
    <tableColumn id="30" name="Column3" dataDxfId="5"/>
    <tableColumn id="37" name="Column4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5" Type="http://schemas.openxmlformats.org/officeDocument/2006/relationships/comments" Target="../comments1.xml"/><Relationship Id="rId4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5" Type="http://schemas.openxmlformats.org/officeDocument/2006/relationships/comments" Target="../comments2.xml"/><Relationship Id="rId4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5" Type="http://schemas.openxmlformats.org/officeDocument/2006/relationships/comments" Target="../comments3.xml"/><Relationship Id="rId4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hyperlink" Target="mailto:SP@" TargetMode="External"/><Relationship Id="rId7" Type="http://schemas.openxmlformats.org/officeDocument/2006/relationships/drawing" Target="../drawings/drawing11.xml"/><Relationship Id="rId2" Type="http://schemas.openxmlformats.org/officeDocument/2006/relationships/hyperlink" Target="mailto:SP@" TargetMode="External"/><Relationship Id="rId1" Type="http://schemas.openxmlformats.org/officeDocument/2006/relationships/hyperlink" Target="mailto:SP@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SP@" TargetMode="External"/><Relationship Id="rId4" Type="http://schemas.openxmlformats.org/officeDocument/2006/relationships/hyperlink" Target="mailto:SP@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hyperlink" Target="mailto:SP@" TargetMode="External"/><Relationship Id="rId7" Type="http://schemas.openxmlformats.org/officeDocument/2006/relationships/drawing" Target="../drawings/drawing12.xml"/><Relationship Id="rId2" Type="http://schemas.openxmlformats.org/officeDocument/2006/relationships/hyperlink" Target="mailto:SP@" TargetMode="External"/><Relationship Id="rId1" Type="http://schemas.openxmlformats.org/officeDocument/2006/relationships/hyperlink" Target="mailto:SP@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SP@" TargetMode="External"/><Relationship Id="rId4" Type="http://schemas.openxmlformats.org/officeDocument/2006/relationships/hyperlink" Target="mailto:SP@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63"/>
  <sheetViews>
    <sheetView workbookViewId="0">
      <selection activeCell="E28" sqref="E28"/>
    </sheetView>
  </sheetViews>
  <sheetFormatPr defaultRowHeight="15" x14ac:dyDescent="0.25"/>
  <cols>
    <col min="1" max="1" width="20" style="2" customWidth="1"/>
    <col min="2" max="2" width="11.85546875" style="2" customWidth="1"/>
    <col min="3" max="3" width="13.42578125" style="2" customWidth="1"/>
    <col min="4" max="4" width="10.85546875" style="2" customWidth="1"/>
    <col min="5" max="5" width="22.42578125" style="2" customWidth="1"/>
    <col min="6" max="6" width="9.28515625" style="2" customWidth="1"/>
    <col min="7" max="7" width="9.140625" style="2" customWidth="1"/>
    <col min="8" max="8" width="11.42578125" style="2" customWidth="1"/>
    <col min="9" max="9" width="13" style="2" customWidth="1"/>
    <col min="10" max="10" width="8.7109375" style="2" customWidth="1"/>
    <col min="11" max="11" width="7.85546875" style="2" customWidth="1"/>
    <col min="12" max="12" width="8.85546875" style="2" customWidth="1"/>
    <col min="13" max="13" width="7.5703125" style="2" customWidth="1"/>
    <col min="14" max="14" width="9.42578125" style="2" customWidth="1"/>
    <col min="15" max="15" width="12.7109375" style="2" customWidth="1"/>
    <col min="16" max="16" width="12.42578125" style="2" customWidth="1"/>
    <col min="17" max="17" width="10" style="2" customWidth="1"/>
    <col min="18" max="18" width="11.7109375" style="2" customWidth="1"/>
    <col min="19" max="19" width="9.28515625" style="2" customWidth="1"/>
    <col min="20" max="20" width="12.42578125" style="2" customWidth="1"/>
    <col min="21" max="21" width="14.28515625" style="2" customWidth="1"/>
    <col min="22" max="16384" width="9.140625" style="2"/>
  </cols>
  <sheetData>
    <row r="1" spans="1:22" ht="24.75" customHeight="1" thickBot="1" x14ac:dyDescent="0.3"/>
    <row r="2" spans="1:22" ht="46.5" customHeight="1" thickBot="1" x14ac:dyDescent="0.3">
      <c r="B2" s="55" t="s">
        <v>4</v>
      </c>
      <c r="C2" s="56" t="s">
        <v>21</v>
      </c>
      <c r="D2" s="55" t="s">
        <v>24</v>
      </c>
      <c r="E2" s="56" t="s">
        <v>25</v>
      </c>
      <c r="F2" s="55" t="s">
        <v>23</v>
      </c>
      <c r="G2" s="57" t="s">
        <v>3</v>
      </c>
      <c r="H2" s="57" t="s">
        <v>13</v>
      </c>
      <c r="I2" s="57" t="s">
        <v>14</v>
      </c>
      <c r="J2" s="57" t="s">
        <v>20</v>
      </c>
      <c r="K2" s="57" t="s">
        <v>19</v>
      </c>
      <c r="L2" s="57" t="s">
        <v>5</v>
      </c>
      <c r="M2" s="57" t="s">
        <v>9</v>
      </c>
      <c r="N2" s="57" t="s">
        <v>12</v>
      </c>
      <c r="O2" s="57" t="s">
        <v>10</v>
      </c>
      <c r="P2" s="57" t="s">
        <v>11</v>
      </c>
      <c r="Q2" s="57" t="s">
        <v>18</v>
      </c>
      <c r="R2" s="57" t="s">
        <v>15</v>
      </c>
      <c r="S2" s="58" t="s">
        <v>17</v>
      </c>
    </row>
    <row r="3" spans="1:22" ht="15.75" thickBot="1" x14ac:dyDescent="0.3">
      <c r="A3" s="354" t="s">
        <v>0</v>
      </c>
      <c r="B3" s="24">
        <v>2</v>
      </c>
      <c r="C3" s="3">
        <v>3.68</v>
      </c>
      <c r="D3" s="3">
        <v>25.5</v>
      </c>
      <c r="E3" s="8">
        <f t="shared" ref="E3:E58" si="0">C3/$V$3*100</f>
        <v>0.2944</v>
      </c>
      <c r="F3" s="8">
        <f t="shared" ref="F3:F44" si="1">D3*L3</f>
        <v>9945</v>
      </c>
      <c r="G3" s="8">
        <f>F3/($V$6*S3*0.001)</f>
        <v>1.9571560680461904E-5</v>
      </c>
      <c r="H3" s="8">
        <f t="shared" ref="H3:H58" si="2">F3/($V$4*M3^2)</f>
        <v>7.5788751714677641E-3</v>
      </c>
      <c r="I3" s="8">
        <f>F3/(O3*Q3*M3*0.001)</f>
        <v>0.78161956170948321</v>
      </c>
      <c r="J3" s="8">
        <f>D3/($V$7*R3*0.001)</f>
        <v>2.8916053439510185E-8</v>
      </c>
      <c r="K3" s="8">
        <f t="shared" ref="K3:K58" si="3">D3/($V$4*M3)</f>
        <v>1.5740740740740741E-3</v>
      </c>
      <c r="L3" s="8">
        <v>390</v>
      </c>
      <c r="M3" s="8">
        <v>81</v>
      </c>
      <c r="N3" s="8">
        <v>105</v>
      </c>
      <c r="O3" s="8">
        <v>251.33</v>
      </c>
      <c r="P3" s="8">
        <f t="shared" ref="P3:P58" si="4">O3/($V$4*M3)*100</f>
        <v>1.5514197530864198</v>
      </c>
      <c r="Q3" s="8">
        <v>625</v>
      </c>
      <c r="R3" s="8">
        <f t="shared" ref="R3:R58" si="5">(1/3-0.21*(MIN($V$4,N3)/MAX($V$4,N3))*(MIN($V$4,N3)^4/(12*MAX($V$4,N3)^4)))*MAX($V$4,N3)*MIN($V$4,N3)^3</f>
        <v>77013403.310835585</v>
      </c>
      <c r="S3" s="9">
        <f>$V$4*N3^3/12</f>
        <v>19293750</v>
      </c>
      <c r="U3" s="14" t="s">
        <v>22</v>
      </c>
      <c r="V3" s="14">
        <v>1250</v>
      </c>
    </row>
    <row r="4" spans="1:22" ht="15.75" thickBot="1" x14ac:dyDescent="0.3">
      <c r="A4" s="355"/>
      <c r="B4" s="24">
        <v>3</v>
      </c>
      <c r="C4" s="3">
        <v>4.68</v>
      </c>
      <c r="D4" s="3">
        <v>26.5</v>
      </c>
      <c r="E4" s="3">
        <f t="shared" si="0"/>
        <v>0.37440000000000001</v>
      </c>
      <c r="F4" s="3">
        <f t="shared" si="1"/>
        <v>10335</v>
      </c>
      <c r="G4" s="8">
        <f t="shared" ref="G4:G58" si="6">F4/($V$6*S4*0.001)</f>
        <v>2.0339072864009429E-5</v>
      </c>
      <c r="H4" s="3">
        <f t="shared" si="2"/>
        <v>7.8760859625057154E-3</v>
      </c>
      <c r="I4" s="8">
        <f t="shared" ref="I4:I17" si="7">F4/(O4*Q4*M4*0.001)</f>
        <v>0.81227130922750224</v>
      </c>
      <c r="J4" s="8">
        <f t="shared" ref="J4:J35" si="8">D4/($V$7*R4*0.001)</f>
        <v>3.0050016319490974E-8</v>
      </c>
      <c r="K4" s="3">
        <f t="shared" si="3"/>
        <v>1.6358024691358025E-3</v>
      </c>
      <c r="L4" s="3">
        <v>390</v>
      </c>
      <c r="M4" s="3">
        <v>81</v>
      </c>
      <c r="N4" s="3">
        <v>105</v>
      </c>
      <c r="O4" s="3">
        <v>251.33</v>
      </c>
      <c r="P4" s="3">
        <f t="shared" si="4"/>
        <v>1.5514197530864198</v>
      </c>
      <c r="Q4" s="3">
        <f t="shared" ref="Q4:Q12" si="9">Q3</f>
        <v>625</v>
      </c>
      <c r="R4" s="3">
        <f t="shared" si="5"/>
        <v>77013403.310835585</v>
      </c>
      <c r="S4" s="10">
        <f t="shared" ref="S4:S58" si="10">$V$4*N4^3/12</f>
        <v>19293750</v>
      </c>
      <c r="U4" s="14" t="s">
        <v>6</v>
      </c>
      <c r="V4" s="14">
        <v>200</v>
      </c>
    </row>
    <row r="5" spans="1:22" ht="15.75" thickBot="1" x14ac:dyDescent="0.3">
      <c r="A5" s="356"/>
      <c r="B5" s="29" t="s">
        <v>26</v>
      </c>
      <c r="C5" s="17">
        <v>6.8</v>
      </c>
      <c r="D5" s="16">
        <v>3</v>
      </c>
      <c r="E5" s="17">
        <f t="shared" si="0"/>
        <v>0.54399999999999993</v>
      </c>
      <c r="F5" s="17">
        <f t="shared" si="1"/>
        <v>1170</v>
      </c>
      <c r="G5" s="21">
        <f t="shared" si="6"/>
        <v>2.3025365506425768E-6</v>
      </c>
      <c r="H5" s="17">
        <f t="shared" si="2"/>
        <v>8.9163237311385465E-4</v>
      </c>
      <c r="I5" s="21">
        <f t="shared" si="7"/>
        <v>9.1955242554056849E-2</v>
      </c>
      <c r="J5" s="21">
        <f t="shared" si="8"/>
        <v>3.4018886399423747E-9</v>
      </c>
      <c r="K5" s="17">
        <f t="shared" si="3"/>
        <v>1.8518518518518518E-4</v>
      </c>
      <c r="L5" s="17">
        <v>390</v>
      </c>
      <c r="M5" s="17">
        <v>81</v>
      </c>
      <c r="N5" s="17">
        <v>105</v>
      </c>
      <c r="O5" s="17">
        <v>251.33</v>
      </c>
      <c r="P5" s="17">
        <f t="shared" si="4"/>
        <v>1.5514197530864198</v>
      </c>
      <c r="Q5" s="17">
        <f t="shared" si="9"/>
        <v>625</v>
      </c>
      <c r="R5" s="17">
        <f t="shared" si="5"/>
        <v>77013403.310835585</v>
      </c>
      <c r="S5" s="18">
        <f t="shared" si="10"/>
        <v>19293750</v>
      </c>
      <c r="U5" s="14" t="s">
        <v>7</v>
      </c>
      <c r="V5" s="14">
        <v>31.4</v>
      </c>
    </row>
    <row r="6" spans="1:22" ht="15.75" thickBot="1" x14ac:dyDescent="0.3">
      <c r="A6" s="354" t="s">
        <v>1</v>
      </c>
      <c r="B6" s="23">
        <v>2</v>
      </c>
      <c r="C6" s="8">
        <v>3.585</v>
      </c>
      <c r="D6" s="8">
        <v>25</v>
      </c>
      <c r="E6" s="8">
        <f t="shared" si="0"/>
        <v>0.2868</v>
      </c>
      <c r="F6" s="8">
        <f t="shared" si="1"/>
        <v>9750</v>
      </c>
      <c r="G6" s="8">
        <f t="shared" si="6"/>
        <v>1.9187804588688139E-5</v>
      </c>
      <c r="H6" s="8">
        <f t="shared" si="2"/>
        <v>7.4302697759487885E-3</v>
      </c>
      <c r="I6" s="8">
        <f t="shared" si="7"/>
        <v>0.76629368795047381</v>
      </c>
      <c r="J6" s="8">
        <f t="shared" si="8"/>
        <v>2.834907199951979E-8</v>
      </c>
      <c r="K6" s="8">
        <f t="shared" si="3"/>
        <v>1.5432098765432098E-3</v>
      </c>
      <c r="L6" s="8">
        <v>390</v>
      </c>
      <c r="M6" s="8">
        <v>81</v>
      </c>
      <c r="N6" s="8">
        <v>105</v>
      </c>
      <c r="O6" s="8">
        <v>251.33</v>
      </c>
      <c r="P6" s="8">
        <f t="shared" si="4"/>
        <v>1.5514197530864198</v>
      </c>
      <c r="Q6" s="8">
        <f t="shared" si="9"/>
        <v>625</v>
      </c>
      <c r="R6" s="8">
        <f t="shared" si="5"/>
        <v>77013403.310835585</v>
      </c>
      <c r="S6" s="9">
        <f t="shared" si="10"/>
        <v>19293750</v>
      </c>
      <c r="U6" s="14" t="s">
        <v>8</v>
      </c>
      <c r="V6" s="14">
        <f>4700*SQRT(V5)</f>
        <v>26336.780365109171</v>
      </c>
    </row>
    <row r="7" spans="1:22" ht="15.75" thickBot="1" x14ac:dyDescent="0.3">
      <c r="A7" s="355"/>
      <c r="B7" s="24">
        <v>3</v>
      </c>
      <c r="C7" s="3">
        <v>4.1500000000000004</v>
      </c>
      <c r="D7" s="3">
        <v>31.4</v>
      </c>
      <c r="E7" s="3">
        <f t="shared" si="0"/>
        <v>0.33200000000000007</v>
      </c>
      <c r="F7" s="3">
        <f t="shared" si="1"/>
        <v>12246</v>
      </c>
      <c r="G7" s="8">
        <f t="shared" si="6"/>
        <v>2.4099882563392303E-5</v>
      </c>
      <c r="H7" s="3">
        <f t="shared" si="2"/>
        <v>9.3324188385916773E-3</v>
      </c>
      <c r="I7" s="8">
        <f t="shared" si="7"/>
        <v>0.96246487206579512</v>
      </c>
      <c r="J7" s="8">
        <f t="shared" si="8"/>
        <v>3.5606434431396852E-8</v>
      </c>
      <c r="K7" s="3">
        <f t="shared" si="3"/>
        <v>1.9382716049382714E-3</v>
      </c>
      <c r="L7" s="3">
        <v>390</v>
      </c>
      <c r="M7" s="3">
        <v>81</v>
      </c>
      <c r="N7" s="3">
        <v>105</v>
      </c>
      <c r="O7" s="3">
        <v>251.33</v>
      </c>
      <c r="P7" s="3">
        <f t="shared" si="4"/>
        <v>1.5514197530864198</v>
      </c>
      <c r="Q7" s="3">
        <f t="shared" si="9"/>
        <v>625</v>
      </c>
      <c r="R7" s="3">
        <f t="shared" si="5"/>
        <v>77013403.310835585</v>
      </c>
      <c r="S7" s="10">
        <f t="shared" si="10"/>
        <v>19293750</v>
      </c>
      <c r="U7" s="14" t="s">
        <v>16</v>
      </c>
      <c r="V7" s="14">
        <f>V6/(2*(1+0.15))</f>
        <v>11450.774071786596</v>
      </c>
    </row>
    <row r="8" spans="1:22" ht="15.75" thickBot="1" x14ac:dyDescent="0.3">
      <c r="A8" s="356"/>
      <c r="B8" s="28" t="s">
        <v>27</v>
      </c>
      <c r="C8" s="20"/>
      <c r="D8" s="20">
        <f>0.2*D7</f>
        <v>6.28</v>
      </c>
      <c r="E8" s="11">
        <f t="shared" si="0"/>
        <v>0</v>
      </c>
      <c r="F8" s="11">
        <f t="shared" si="1"/>
        <v>2449.2000000000003</v>
      </c>
      <c r="G8" s="4">
        <f t="shared" si="6"/>
        <v>4.8199765126784615E-6</v>
      </c>
      <c r="H8" s="11">
        <f t="shared" si="2"/>
        <v>1.8664837677183359E-3</v>
      </c>
      <c r="I8" s="4">
        <f t="shared" si="7"/>
        <v>0.19249297441315905</v>
      </c>
      <c r="J8" s="4">
        <f t="shared" si="8"/>
        <v>7.1212868862793717E-9</v>
      </c>
      <c r="K8" s="11">
        <f t="shared" si="3"/>
        <v>3.8765432098765434E-4</v>
      </c>
      <c r="L8" s="11">
        <v>390</v>
      </c>
      <c r="M8" s="11">
        <v>81</v>
      </c>
      <c r="N8" s="11">
        <v>105</v>
      </c>
      <c r="O8" s="11">
        <v>251.33</v>
      </c>
      <c r="P8" s="11">
        <f t="shared" si="4"/>
        <v>1.5514197530864198</v>
      </c>
      <c r="Q8" s="11">
        <f t="shared" si="9"/>
        <v>625</v>
      </c>
      <c r="R8" s="11">
        <f t="shared" si="5"/>
        <v>77013403.310835585</v>
      </c>
      <c r="S8" s="12">
        <f t="shared" si="10"/>
        <v>19293750</v>
      </c>
    </row>
    <row r="9" spans="1:22" ht="15.75" thickBot="1" x14ac:dyDescent="0.3">
      <c r="A9" s="354" t="s">
        <v>2</v>
      </c>
      <c r="B9" s="23">
        <v>2</v>
      </c>
      <c r="C9" s="19"/>
      <c r="D9" s="19">
        <f>0.8*D11</f>
        <v>20.400000000000002</v>
      </c>
      <c r="E9" s="8">
        <f t="shared" si="0"/>
        <v>0</v>
      </c>
      <c r="F9" s="8">
        <f t="shared" si="1"/>
        <v>7956.0000000000009</v>
      </c>
      <c r="G9" s="8">
        <f t="shared" si="6"/>
        <v>1.5657248544369523E-5</v>
      </c>
      <c r="H9" s="8">
        <f t="shared" si="2"/>
        <v>6.0631001371742122E-3</v>
      </c>
      <c r="I9" s="8">
        <f t="shared" si="7"/>
        <v>0.62529564936758664</v>
      </c>
      <c r="J9" s="8">
        <f t="shared" si="8"/>
        <v>2.313284275160815E-8</v>
      </c>
      <c r="K9" s="8">
        <f t="shared" si="3"/>
        <v>1.2592592592592594E-3</v>
      </c>
      <c r="L9" s="8">
        <v>390</v>
      </c>
      <c r="M9" s="8">
        <v>81</v>
      </c>
      <c r="N9" s="8">
        <v>105</v>
      </c>
      <c r="O9" s="8">
        <v>251.33</v>
      </c>
      <c r="P9" s="8">
        <f t="shared" si="4"/>
        <v>1.5514197530864198</v>
      </c>
      <c r="Q9" s="8">
        <f t="shared" si="9"/>
        <v>625</v>
      </c>
      <c r="R9" s="8">
        <f t="shared" si="5"/>
        <v>77013403.310835585</v>
      </c>
      <c r="S9" s="9">
        <f t="shared" si="10"/>
        <v>19293750</v>
      </c>
    </row>
    <row r="10" spans="1:22" ht="15.75" thickBot="1" x14ac:dyDescent="0.3">
      <c r="A10" s="355"/>
      <c r="B10" s="24">
        <v>3</v>
      </c>
      <c r="C10" s="13"/>
      <c r="D10" s="3">
        <v>22.5</v>
      </c>
      <c r="E10" s="3">
        <f t="shared" si="0"/>
        <v>0</v>
      </c>
      <c r="F10" s="3">
        <f t="shared" si="1"/>
        <v>8775</v>
      </c>
      <c r="G10" s="8">
        <f t="shared" si="6"/>
        <v>1.7269024129819325E-5</v>
      </c>
      <c r="H10" s="3">
        <f t="shared" si="2"/>
        <v>6.6872427983539094E-3</v>
      </c>
      <c r="I10" s="8">
        <f t="shared" si="7"/>
        <v>0.68966431915542636</v>
      </c>
      <c r="J10" s="8">
        <f t="shared" si="8"/>
        <v>2.551416479956781E-8</v>
      </c>
      <c r="K10" s="3">
        <f t="shared" si="3"/>
        <v>1.3888888888888889E-3</v>
      </c>
      <c r="L10" s="3">
        <v>390</v>
      </c>
      <c r="M10" s="3">
        <v>81</v>
      </c>
      <c r="N10" s="3">
        <v>105</v>
      </c>
      <c r="O10" s="3">
        <v>251.33</v>
      </c>
      <c r="P10" s="3">
        <f t="shared" si="4"/>
        <v>1.5514197530864198</v>
      </c>
      <c r="Q10" s="3">
        <f t="shared" si="9"/>
        <v>625</v>
      </c>
      <c r="R10" s="3">
        <f t="shared" si="5"/>
        <v>77013403.310835585</v>
      </c>
      <c r="S10" s="10">
        <f t="shared" si="10"/>
        <v>19293750</v>
      </c>
    </row>
    <row r="11" spans="1:22" ht="15.75" thickBot="1" x14ac:dyDescent="0.3">
      <c r="A11" s="355"/>
      <c r="B11" s="24">
        <v>4</v>
      </c>
      <c r="C11" s="13"/>
      <c r="D11" s="3">
        <v>25.5</v>
      </c>
      <c r="E11" s="3">
        <f t="shared" si="0"/>
        <v>0</v>
      </c>
      <c r="F11" s="3">
        <f t="shared" si="1"/>
        <v>9945</v>
      </c>
      <c r="G11" s="8">
        <f t="shared" si="6"/>
        <v>1.9571560680461904E-5</v>
      </c>
      <c r="H11" s="3">
        <f t="shared" si="2"/>
        <v>7.5788751714677641E-3</v>
      </c>
      <c r="I11" s="8">
        <f>F11/(O11*Q11*M11*0.001)</f>
        <v>0.78161956170948321</v>
      </c>
      <c r="J11" s="8">
        <f t="shared" si="8"/>
        <v>2.8916053439510185E-8</v>
      </c>
      <c r="K11" s="3">
        <f t="shared" si="3"/>
        <v>1.5740740740740741E-3</v>
      </c>
      <c r="L11" s="3">
        <v>390</v>
      </c>
      <c r="M11" s="3">
        <v>81</v>
      </c>
      <c r="N11" s="3">
        <v>105</v>
      </c>
      <c r="O11" s="3">
        <v>251.33</v>
      </c>
      <c r="P11" s="3">
        <f t="shared" si="4"/>
        <v>1.5514197530864198</v>
      </c>
      <c r="Q11" s="3">
        <f t="shared" si="9"/>
        <v>625</v>
      </c>
      <c r="R11" s="3">
        <f t="shared" si="5"/>
        <v>77013403.310835585</v>
      </c>
      <c r="S11" s="10">
        <f t="shared" si="10"/>
        <v>19293750</v>
      </c>
    </row>
    <row r="12" spans="1:22" ht="15.75" thickBot="1" x14ac:dyDescent="0.3">
      <c r="A12" s="356"/>
      <c r="B12" s="28" t="s">
        <v>28</v>
      </c>
      <c r="C12" s="20"/>
      <c r="D12" s="20">
        <f>0.2*D11</f>
        <v>5.1000000000000005</v>
      </c>
      <c r="E12" s="11">
        <f t="shared" si="0"/>
        <v>0</v>
      </c>
      <c r="F12" s="11">
        <f t="shared" si="1"/>
        <v>1989.0000000000002</v>
      </c>
      <c r="G12" s="4">
        <f t="shared" si="6"/>
        <v>3.9143121360923807E-6</v>
      </c>
      <c r="H12" s="11">
        <f t="shared" si="2"/>
        <v>1.515775034293553E-3</v>
      </c>
      <c r="I12" s="4">
        <f t="shared" si="7"/>
        <v>0.15632391234189666</v>
      </c>
      <c r="J12" s="4">
        <f t="shared" si="8"/>
        <v>5.7832106879020374E-9</v>
      </c>
      <c r="K12" s="11">
        <f t="shared" si="3"/>
        <v>3.1481481481481486E-4</v>
      </c>
      <c r="L12" s="11">
        <v>390</v>
      </c>
      <c r="M12" s="11">
        <v>81</v>
      </c>
      <c r="N12" s="11">
        <v>105</v>
      </c>
      <c r="O12" s="11">
        <v>251.33</v>
      </c>
      <c r="P12" s="11">
        <f t="shared" si="4"/>
        <v>1.5514197530864198</v>
      </c>
      <c r="Q12" s="11">
        <f t="shared" si="9"/>
        <v>625</v>
      </c>
      <c r="R12" s="11">
        <f t="shared" si="5"/>
        <v>77013403.310835585</v>
      </c>
      <c r="S12" s="12">
        <f t="shared" si="10"/>
        <v>19293750</v>
      </c>
    </row>
    <row r="13" spans="1:22" ht="15.75" thickBot="1" x14ac:dyDescent="0.3">
      <c r="A13" s="354" t="s">
        <v>30</v>
      </c>
      <c r="B13" s="26">
        <v>2</v>
      </c>
      <c r="C13" s="8">
        <v>6.49</v>
      </c>
      <c r="D13" s="8">
        <v>22.5</v>
      </c>
      <c r="E13" s="8">
        <f t="shared" si="0"/>
        <v>0.51919999999999999</v>
      </c>
      <c r="F13" s="8">
        <f t="shared" si="1"/>
        <v>8775</v>
      </c>
      <c r="G13" s="8">
        <f t="shared" si="6"/>
        <v>8.8924576711005473E-6</v>
      </c>
      <c r="H13" s="8">
        <f t="shared" si="2"/>
        <v>3.9048593805624779E-3</v>
      </c>
      <c r="I13" s="8">
        <f t="shared" si="7"/>
        <v>0.39726506399297223</v>
      </c>
      <c r="J13" s="8">
        <f t="shared" si="8"/>
        <v>1.3194186683689334E-8</v>
      </c>
      <c r="K13" s="8">
        <f t="shared" si="3"/>
        <v>1.0613207547169811E-3</v>
      </c>
      <c r="L13" s="8">
        <v>390</v>
      </c>
      <c r="M13" s="8">
        <v>106</v>
      </c>
      <c r="N13" s="8">
        <v>131</v>
      </c>
      <c r="O13" s="8">
        <v>314.16000000000003</v>
      </c>
      <c r="P13" s="8">
        <f t="shared" si="4"/>
        <v>1.4818867924528303</v>
      </c>
      <c r="Q13" s="8">
        <v>663.3</v>
      </c>
      <c r="R13" s="8">
        <f t="shared" si="5"/>
        <v>148924121.73289105</v>
      </c>
      <c r="S13" s="9">
        <f t="shared" si="10"/>
        <v>37468183.333333336</v>
      </c>
    </row>
    <row r="14" spans="1:22" ht="15.75" thickBot="1" x14ac:dyDescent="0.3">
      <c r="A14" s="355"/>
      <c r="B14" s="27">
        <v>3</v>
      </c>
      <c r="C14" s="3">
        <v>9.0299999999999994</v>
      </c>
      <c r="D14" s="3">
        <v>33.79</v>
      </c>
      <c r="E14" s="3">
        <f t="shared" si="0"/>
        <v>0.72239999999999993</v>
      </c>
      <c r="F14" s="3">
        <f t="shared" si="1"/>
        <v>13178.1</v>
      </c>
      <c r="G14" s="8">
        <f t="shared" si="6"/>
        <v>1.3354495320288333E-5</v>
      </c>
      <c r="H14" s="3">
        <f t="shared" si="2"/>
        <v>5.8642310430758278E-3</v>
      </c>
      <c r="I14" s="8">
        <f t="shared" si="7"/>
        <v>0.5966038449921125</v>
      </c>
      <c r="J14" s="8">
        <f t="shared" si="8"/>
        <v>1.9814736357416114E-8</v>
      </c>
      <c r="K14" s="3">
        <f t="shared" si="3"/>
        <v>1.5938679245283019E-3</v>
      </c>
      <c r="L14" s="3">
        <v>390</v>
      </c>
      <c r="M14" s="3">
        <v>106</v>
      </c>
      <c r="N14" s="3">
        <v>131</v>
      </c>
      <c r="O14" s="3">
        <v>314.16000000000003</v>
      </c>
      <c r="P14" s="3">
        <f t="shared" si="4"/>
        <v>1.4818867924528303</v>
      </c>
      <c r="Q14" s="3">
        <v>663.3</v>
      </c>
      <c r="R14" s="3">
        <f t="shared" si="5"/>
        <v>148924121.73289105</v>
      </c>
      <c r="S14" s="10">
        <f t="shared" si="10"/>
        <v>37468183.333333336</v>
      </c>
    </row>
    <row r="15" spans="1:22" ht="15.75" thickBot="1" x14ac:dyDescent="0.3">
      <c r="A15" s="356"/>
      <c r="B15" s="28" t="s">
        <v>29</v>
      </c>
      <c r="C15" s="20"/>
      <c r="D15" s="20">
        <f>0.2*D14</f>
        <v>6.758</v>
      </c>
      <c r="E15" s="11">
        <f t="shared" si="0"/>
        <v>0</v>
      </c>
      <c r="F15" s="11">
        <f t="shared" si="1"/>
        <v>2635.62</v>
      </c>
      <c r="G15" s="4">
        <f t="shared" si="6"/>
        <v>2.6708990640576661E-6</v>
      </c>
      <c r="H15" s="11">
        <f t="shared" si="2"/>
        <v>1.1728462086151655E-3</v>
      </c>
      <c r="I15" s="4">
        <f t="shared" si="7"/>
        <v>0.11932076899842251</v>
      </c>
      <c r="J15" s="4">
        <f t="shared" si="8"/>
        <v>3.9629472714832232E-9</v>
      </c>
      <c r="K15" s="11">
        <f t="shared" si="3"/>
        <v>3.1877358490566037E-4</v>
      </c>
      <c r="L15" s="11">
        <v>390</v>
      </c>
      <c r="M15" s="11">
        <v>106</v>
      </c>
      <c r="N15" s="11">
        <v>131</v>
      </c>
      <c r="O15" s="11">
        <v>314.16000000000003</v>
      </c>
      <c r="P15" s="11">
        <f t="shared" si="4"/>
        <v>1.4818867924528303</v>
      </c>
      <c r="Q15" s="11">
        <v>663.3</v>
      </c>
      <c r="R15" s="11">
        <f t="shared" si="5"/>
        <v>148924121.73289105</v>
      </c>
      <c r="S15" s="12">
        <f t="shared" si="10"/>
        <v>37468183.333333336</v>
      </c>
    </row>
    <row r="16" spans="1:22" ht="15.75" thickBot="1" x14ac:dyDescent="0.3">
      <c r="A16" s="354" t="s">
        <v>31</v>
      </c>
      <c r="B16" s="23">
        <v>2</v>
      </c>
      <c r="C16" s="8">
        <v>6.06</v>
      </c>
      <c r="D16" s="8">
        <v>27.5</v>
      </c>
      <c r="E16" s="8">
        <f t="shared" si="0"/>
        <v>0.48480000000000001</v>
      </c>
      <c r="F16" s="8">
        <f t="shared" si="1"/>
        <v>10725</v>
      </c>
      <c r="G16" s="8">
        <f t="shared" si="6"/>
        <v>1.0868559375789558E-5</v>
      </c>
      <c r="H16" s="8">
        <f t="shared" si="2"/>
        <v>4.7726059095763614E-3</v>
      </c>
      <c r="I16" s="8">
        <f t="shared" si="7"/>
        <v>0.48554618932474386</v>
      </c>
      <c r="J16" s="8">
        <f t="shared" si="8"/>
        <v>1.612622816895363E-8</v>
      </c>
      <c r="K16" s="8">
        <f t="shared" si="3"/>
        <v>1.2971698113207546E-3</v>
      </c>
      <c r="L16" s="8">
        <v>390</v>
      </c>
      <c r="M16" s="8">
        <v>106</v>
      </c>
      <c r="N16" s="8">
        <v>131</v>
      </c>
      <c r="O16" s="8">
        <v>314.16000000000003</v>
      </c>
      <c r="P16" s="8">
        <f t="shared" si="4"/>
        <v>1.4818867924528303</v>
      </c>
      <c r="Q16" s="8">
        <v>663.3</v>
      </c>
      <c r="R16" s="8">
        <f t="shared" si="5"/>
        <v>148924121.73289105</v>
      </c>
      <c r="S16" s="9">
        <f t="shared" si="10"/>
        <v>37468183.333333336</v>
      </c>
    </row>
    <row r="17" spans="1:21" ht="15.75" thickBot="1" x14ac:dyDescent="0.3">
      <c r="A17" s="355"/>
      <c r="B17" s="24">
        <v>4</v>
      </c>
      <c r="C17" s="13">
        <v>6.19</v>
      </c>
      <c r="D17" s="13">
        <v>28.5</v>
      </c>
      <c r="E17" s="3">
        <f t="shared" si="0"/>
        <v>0.49520000000000008</v>
      </c>
      <c r="F17" s="3">
        <f t="shared" si="1"/>
        <v>11115</v>
      </c>
      <c r="G17" s="8">
        <f t="shared" si="6"/>
        <v>1.1263779716727358E-5</v>
      </c>
      <c r="H17" s="3">
        <f t="shared" si="2"/>
        <v>4.9461552153791388E-3</v>
      </c>
      <c r="I17" s="8">
        <f t="shared" si="7"/>
        <v>0.50320241439109814</v>
      </c>
      <c r="J17" s="8">
        <f t="shared" si="8"/>
        <v>1.671263646600649E-8</v>
      </c>
      <c r="K17" s="3">
        <f t="shared" si="3"/>
        <v>1.3443396226415095E-3</v>
      </c>
      <c r="L17" s="3">
        <v>390</v>
      </c>
      <c r="M17" s="3">
        <v>106</v>
      </c>
      <c r="N17" s="3">
        <v>131</v>
      </c>
      <c r="O17" s="3">
        <v>314.16000000000003</v>
      </c>
      <c r="P17" s="3">
        <f t="shared" si="4"/>
        <v>1.4818867924528303</v>
      </c>
      <c r="Q17" s="3">
        <v>663.3</v>
      </c>
      <c r="R17" s="3">
        <f t="shared" si="5"/>
        <v>148924121.73289105</v>
      </c>
      <c r="S17" s="10">
        <f t="shared" si="10"/>
        <v>37468183.333333336</v>
      </c>
    </row>
    <row r="18" spans="1:21" ht="15.75" thickBot="1" x14ac:dyDescent="0.3">
      <c r="A18" s="355"/>
      <c r="B18" s="30">
        <v>5</v>
      </c>
      <c r="C18" s="17">
        <v>7.41</v>
      </c>
      <c r="D18" s="17">
        <v>34</v>
      </c>
      <c r="E18" s="17">
        <f t="shared" si="0"/>
        <v>0.59279999999999999</v>
      </c>
      <c r="F18" s="17">
        <f t="shared" si="1"/>
        <v>13260</v>
      </c>
      <c r="G18" s="21">
        <f t="shared" si="6"/>
        <v>1.343749159188527E-5</v>
      </c>
      <c r="H18" s="17">
        <f t="shared" si="2"/>
        <v>5.9006763972944106E-3</v>
      </c>
      <c r="I18" s="21">
        <f>F18/(O18*Q18*M18*0.001)</f>
        <v>0.60031165225604688</v>
      </c>
      <c r="J18" s="21">
        <f t="shared" si="8"/>
        <v>1.9937882099797215E-8</v>
      </c>
      <c r="K18" s="17">
        <f t="shared" si="3"/>
        <v>1.6037735849056603E-3</v>
      </c>
      <c r="L18" s="17">
        <v>390</v>
      </c>
      <c r="M18" s="17">
        <v>106</v>
      </c>
      <c r="N18" s="17">
        <v>131</v>
      </c>
      <c r="O18" s="17">
        <v>314.16000000000003</v>
      </c>
      <c r="P18" s="17">
        <f t="shared" si="4"/>
        <v>1.4818867924528303</v>
      </c>
      <c r="Q18" s="17">
        <v>663.3</v>
      </c>
      <c r="R18" s="17">
        <f t="shared" si="5"/>
        <v>148924121.73289105</v>
      </c>
      <c r="S18" s="18">
        <f t="shared" si="10"/>
        <v>37468183.333333336</v>
      </c>
    </row>
    <row r="19" spans="1:21" ht="15.75" thickBot="1" x14ac:dyDescent="0.3">
      <c r="A19" s="357" t="s">
        <v>32</v>
      </c>
      <c r="B19" s="8">
        <v>2</v>
      </c>
      <c r="C19" s="8">
        <v>5.8</v>
      </c>
      <c r="D19" s="8">
        <f>47/2</f>
        <v>23.5</v>
      </c>
      <c r="E19" s="8">
        <f t="shared" si="0"/>
        <v>0.46400000000000002</v>
      </c>
      <c r="F19" s="8">
        <f t="shared" si="1"/>
        <v>9165</v>
      </c>
      <c r="G19" s="8">
        <f t="shared" si="6"/>
        <v>9.287678012038348E-6</v>
      </c>
      <c r="H19" s="8">
        <f t="shared" si="2"/>
        <v>4.0784086863652549E-3</v>
      </c>
      <c r="I19" s="8">
        <f t="shared" ref="I19:I58" si="11">F19/(O19*Q19*M19*0.001)</f>
        <v>0.41492128905932657</v>
      </c>
      <c r="J19" s="8">
        <f t="shared" si="8"/>
        <v>1.3780594980742192E-8</v>
      </c>
      <c r="K19" s="8">
        <f t="shared" si="3"/>
        <v>1.1084905660377359E-3</v>
      </c>
      <c r="L19" s="8">
        <v>390</v>
      </c>
      <c r="M19" s="8">
        <v>106</v>
      </c>
      <c r="N19" s="8">
        <v>131</v>
      </c>
      <c r="O19" s="8">
        <v>314.16000000000003</v>
      </c>
      <c r="P19" s="8">
        <f t="shared" si="4"/>
        <v>1.4818867924528303</v>
      </c>
      <c r="Q19" s="8">
        <v>663.3</v>
      </c>
      <c r="R19" s="4">
        <f t="shared" si="5"/>
        <v>148924121.73289105</v>
      </c>
      <c r="S19" s="5">
        <f t="shared" si="10"/>
        <v>37468183.333333336</v>
      </c>
    </row>
    <row r="20" spans="1:21" ht="15.75" thickBot="1" x14ac:dyDescent="0.3">
      <c r="A20" s="358"/>
      <c r="B20" s="3">
        <v>3</v>
      </c>
      <c r="C20" s="3">
        <v>7.9</v>
      </c>
      <c r="D20" s="3">
        <f>66/2</f>
        <v>33</v>
      </c>
      <c r="E20" s="3">
        <f t="shared" si="0"/>
        <v>0.63200000000000001</v>
      </c>
      <c r="F20" s="3">
        <f t="shared" si="1"/>
        <v>12870</v>
      </c>
      <c r="G20" s="3">
        <f t="shared" si="6"/>
        <v>1.3042271250947469E-5</v>
      </c>
      <c r="H20" s="3">
        <f t="shared" si="2"/>
        <v>5.727127091491634E-3</v>
      </c>
      <c r="I20" s="3">
        <f t="shared" si="11"/>
        <v>0.58265542718969265</v>
      </c>
      <c r="J20" s="3">
        <f t="shared" si="8"/>
        <v>1.9351473802744355E-8</v>
      </c>
      <c r="K20" s="3">
        <f t="shared" si="3"/>
        <v>1.5566037735849057E-3</v>
      </c>
      <c r="L20" s="3">
        <v>390</v>
      </c>
      <c r="M20" s="3">
        <v>106</v>
      </c>
      <c r="N20" s="3">
        <v>131</v>
      </c>
      <c r="O20" s="3">
        <v>314.16000000000003</v>
      </c>
      <c r="P20" s="3">
        <f t="shared" si="4"/>
        <v>1.4818867924528303</v>
      </c>
      <c r="Q20" s="3">
        <v>663.3</v>
      </c>
      <c r="R20" s="11">
        <f t="shared" si="5"/>
        <v>148924121.73289105</v>
      </c>
      <c r="S20" s="12">
        <f t="shared" si="10"/>
        <v>37468183.333333336</v>
      </c>
      <c r="U20"/>
    </row>
    <row r="21" spans="1:21" ht="15.75" thickBot="1" x14ac:dyDescent="0.3">
      <c r="A21" s="358"/>
      <c r="B21" s="3">
        <v>4</v>
      </c>
      <c r="C21" s="3">
        <v>8.44</v>
      </c>
      <c r="D21" s="3">
        <f>71/2</f>
        <v>35.5</v>
      </c>
      <c r="E21" s="3">
        <f t="shared" si="0"/>
        <v>0.67519999999999991</v>
      </c>
      <c r="F21" s="3">
        <f t="shared" si="1"/>
        <v>13845</v>
      </c>
      <c r="G21" s="3">
        <f t="shared" si="6"/>
        <v>1.4030322103291974E-5</v>
      </c>
      <c r="H21" s="3">
        <f t="shared" si="2"/>
        <v>6.1610003559985759E-3</v>
      </c>
      <c r="I21" s="3">
        <f t="shared" si="11"/>
        <v>0.62679598985557838</v>
      </c>
      <c r="J21" s="3">
        <f t="shared" si="8"/>
        <v>2.0817494545376505E-8</v>
      </c>
      <c r="K21" s="3">
        <f t="shared" si="3"/>
        <v>1.6745283018867925E-3</v>
      </c>
      <c r="L21" s="3">
        <v>390</v>
      </c>
      <c r="M21" s="3">
        <v>106</v>
      </c>
      <c r="N21" s="3">
        <v>131</v>
      </c>
      <c r="O21" s="3">
        <v>314.16000000000003</v>
      </c>
      <c r="P21" s="3">
        <f t="shared" si="4"/>
        <v>1.4818867924528303</v>
      </c>
      <c r="Q21" s="11">
        <v>663.3</v>
      </c>
      <c r="R21" s="11">
        <f t="shared" si="5"/>
        <v>148924121.73289105</v>
      </c>
      <c r="S21" s="12">
        <f t="shared" si="10"/>
        <v>37468183.333333336</v>
      </c>
      <c r="U21"/>
    </row>
    <row r="22" spans="1:21" ht="15.75" thickBot="1" x14ac:dyDescent="0.3">
      <c r="A22" s="362"/>
      <c r="B22" s="22" t="s">
        <v>33</v>
      </c>
      <c r="C22" s="11">
        <v>9.9</v>
      </c>
      <c r="D22" s="11">
        <v>6</v>
      </c>
      <c r="E22" s="11">
        <f t="shared" si="0"/>
        <v>0.79200000000000004</v>
      </c>
      <c r="F22" s="11">
        <f t="shared" si="1"/>
        <v>2340</v>
      </c>
      <c r="G22" s="11">
        <f t="shared" si="6"/>
        <v>2.3713220456268123E-6</v>
      </c>
      <c r="H22" s="11">
        <f t="shared" si="2"/>
        <v>1.0412958348166607E-3</v>
      </c>
      <c r="I22" s="11">
        <f t="shared" si="11"/>
        <v>0.10593735039812593</v>
      </c>
      <c r="J22" s="11">
        <f t="shared" si="8"/>
        <v>3.5184497823171557E-9</v>
      </c>
      <c r="K22" s="11">
        <f t="shared" si="3"/>
        <v>2.8301886792452831E-4</v>
      </c>
      <c r="L22" s="11">
        <v>390</v>
      </c>
      <c r="M22" s="11">
        <v>106</v>
      </c>
      <c r="N22" s="11">
        <v>131</v>
      </c>
      <c r="O22" s="11">
        <v>314.16000000000003</v>
      </c>
      <c r="P22" s="11">
        <f t="shared" si="4"/>
        <v>1.4818867924528303</v>
      </c>
      <c r="Q22" s="11">
        <v>663.3</v>
      </c>
      <c r="R22" s="11">
        <f t="shared" si="5"/>
        <v>148924121.73289105</v>
      </c>
      <c r="S22" s="12">
        <f t="shared" si="10"/>
        <v>37468183.333333336</v>
      </c>
      <c r="U22"/>
    </row>
    <row r="23" spans="1:21" x14ac:dyDescent="0.25">
      <c r="A23" s="357" t="s">
        <v>35</v>
      </c>
      <c r="B23" s="8">
        <v>1</v>
      </c>
      <c r="C23" s="8">
        <v>6.5</v>
      </c>
      <c r="D23" s="8">
        <v>41.4</v>
      </c>
      <c r="E23" s="8">
        <f t="shared" si="0"/>
        <v>0.52</v>
      </c>
      <c r="F23" s="8">
        <f t="shared" si="1"/>
        <v>16146</v>
      </c>
      <c r="G23" s="8">
        <f t="shared" si="6"/>
        <v>8.3391535841849419E-6</v>
      </c>
      <c r="H23" s="8">
        <f t="shared" si="2"/>
        <v>4.1783551576005384E-3</v>
      </c>
      <c r="I23" s="8">
        <f t="shared" si="11"/>
        <v>0.44594289543130539</v>
      </c>
      <c r="J23" s="8">
        <f t="shared" si="8"/>
        <v>1.253896230361332E-8</v>
      </c>
      <c r="K23" s="8">
        <f t="shared" si="3"/>
        <v>1.4892086330935252E-3</v>
      </c>
      <c r="L23" s="8">
        <v>390</v>
      </c>
      <c r="M23" s="8">
        <v>139</v>
      </c>
      <c r="N23" s="8">
        <v>164</v>
      </c>
      <c r="O23" s="8">
        <v>392.7</v>
      </c>
      <c r="P23" s="8">
        <f t="shared" si="4"/>
        <v>1.412589928057554</v>
      </c>
      <c r="Q23" s="8">
        <v>663.3</v>
      </c>
      <c r="R23" s="8">
        <f t="shared" si="5"/>
        <v>288339338.92909938</v>
      </c>
      <c r="S23" s="9">
        <f t="shared" si="10"/>
        <v>73515733.333333328</v>
      </c>
      <c r="U23"/>
    </row>
    <row r="24" spans="1:21" ht="15.75" thickBot="1" x14ac:dyDescent="0.3">
      <c r="A24" s="358"/>
      <c r="B24" s="15" t="s">
        <v>34</v>
      </c>
      <c r="C24" s="17">
        <v>6.8</v>
      </c>
      <c r="D24" s="17">
        <f>31.76/2</f>
        <v>15.88</v>
      </c>
      <c r="E24" s="17">
        <f t="shared" si="0"/>
        <v>0.54399999999999993</v>
      </c>
      <c r="F24" s="17">
        <f t="shared" si="1"/>
        <v>6193.2000000000007</v>
      </c>
      <c r="G24" s="17">
        <f t="shared" si="6"/>
        <v>3.1986898289095867E-6</v>
      </c>
      <c r="H24" s="17">
        <f t="shared" si="2"/>
        <v>1.6027120749443613E-3</v>
      </c>
      <c r="I24" s="17">
        <f t="shared" si="11"/>
        <v>0.17105249225722538</v>
      </c>
      <c r="J24" s="17">
        <f t="shared" si="8"/>
        <v>4.8096309512410517E-9</v>
      </c>
      <c r="K24" s="17">
        <f t="shared" si="3"/>
        <v>5.712230215827338E-4</v>
      </c>
      <c r="L24" s="17">
        <v>390</v>
      </c>
      <c r="M24" s="17">
        <v>139</v>
      </c>
      <c r="N24" s="17">
        <v>164</v>
      </c>
      <c r="O24" s="17">
        <v>392.7</v>
      </c>
      <c r="P24" s="17">
        <f t="shared" si="4"/>
        <v>1.412589928057554</v>
      </c>
      <c r="Q24" s="17">
        <f>Q23</f>
        <v>663.3</v>
      </c>
      <c r="R24" s="17">
        <f t="shared" si="5"/>
        <v>288339338.92909938</v>
      </c>
      <c r="S24" s="18">
        <f t="shared" si="10"/>
        <v>73515733.333333328</v>
      </c>
    </row>
    <row r="25" spans="1:21" x14ac:dyDescent="0.25">
      <c r="A25" s="359" t="s">
        <v>36</v>
      </c>
      <c r="B25" s="6">
        <v>2</v>
      </c>
      <c r="C25" s="8">
        <v>4.1500000000000004</v>
      </c>
      <c r="D25" s="8">
        <f>46/2</f>
        <v>23</v>
      </c>
      <c r="E25" s="8">
        <f t="shared" si="0"/>
        <v>0.33200000000000007</v>
      </c>
      <c r="F25" s="8">
        <f t="shared" si="1"/>
        <v>8970</v>
      </c>
      <c r="G25" s="8">
        <f t="shared" si="6"/>
        <v>4.6328631023249671E-6</v>
      </c>
      <c r="H25" s="8">
        <f t="shared" si="2"/>
        <v>2.3213084208891879E-3</v>
      </c>
      <c r="I25" s="8">
        <f t="shared" si="11"/>
        <v>0.24774605301739189</v>
      </c>
      <c r="J25" s="8">
        <f t="shared" si="8"/>
        <v>6.9660901686740671E-9</v>
      </c>
      <c r="K25" s="8">
        <f t="shared" si="3"/>
        <v>8.2733812949640291E-4</v>
      </c>
      <c r="L25" s="8">
        <v>390</v>
      </c>
      <c r="M25" s="8">
        <v>139</v>
      </c>
      <c r="N25" s="8">
        <v>164</v>
      </c>
      <c r="O25" s="8">
        <v>392.7</v>
      </c>
      <c r="P25" s="8">
        <f t="shared" si="4"/>
        <v>1.412589928057554</v>
      </c>
      <c r="Q25" s="8">
        <f t="shared" ref="Q25:Q32" si="12">Q24</f>
        <v>663.3</v>
      </c>
      <c r="R25" s="8">
        <f t="shared" si="5"/>
        <v>288339338.92909938</v>
      </c>
      <c r="S25" s="9">
        <f t="shared" si="10"/>
        <v>73515733.333333328</v>
      </c>
    </row>
    <row r="26" spans="1:21" x14ac:dyDescent="0.25">
      <c r="A26" s="360"/>
      <c r="B26" s="31">
        <v>3</v>
      </c>
      <c r="C26" s="3">
        <v>5.5</v>
      </c>
      <c r="D26" s="3">
        <f>69/2</f>
        <v>34.5</v>
      </c>
      <c r="E26" s="3">
        <f t="shared" si="0"/>
        <v>0.44</v>
      </c>
      <c r="F26" s="3">
        <f t="shared" si="1"/>
        <v>13455</v>
      </c>
      <c r="G26" s="3">
        <f t="shared" si="6"/>
        <v>6.949294653487451E-6</v>
      </c>
      <c r="H26" s="3">
        <f t="shared" si="2"/>
        <v>3.481962631333782E-3</v>
      </c>
      <c r="I26" s="3">
        <f t="shared" si="11"/>
        <v>0.37161907952608786</v>
      </c>
      <c r="J26" s="3">
        <f t="shared" si="8"/>
        <v>1.04491352530111E-8</v>
      </c>
      <c r="K26" s="3">
        <f t="shared" si="3"/>
        <v>1.2410071942446043E-3</v>
      </c>
      <c r="L26" s="3">
        <v>390</v>
      </c>
      <c r="M26" s="3">
        <v>139</v>
      </c>
      <c r="N26" s="3">
        <v>164</v>
      </c>
      <c r="O26" s="3">
        <v>392.7</v>
      </c>
      <c r="P26" s="3">
        <f t="shared" si="4"/>
        <v>1.412589928057554</v>
      </c>
      <c r="Q26" s="3">
        <f t="shared" si="12"/>
        <v>663.3</v>
      </c>
      <c r="R26" s="3">
        <f t="shared" si="5"/>
        <v>288339338.92909938</v>
      </c>
      <c r="S26" s="10">
        <f t="shared" si="10"/>
        <v>73515733.333333328</v>
      </c>
    </row>
    <row r="27" spans="1:21" ht="15.75" thickBot="1" x14ac:dyDescent="0.3">
      <c r="A27" s="361"/>
      <c r="B27" s="32">
        <v>4</v>
      </c>
      <c r="C27" s="17">
        <v>7.2</v>
      </c>
      <c r="D27" s="17">
        <v>42.3</v>
      </c>
      <c r="E27" s="17">
        <f t="shared" si="0"/>
        <v>0.57600000000000007</v>
      </c>
      <c r="F27" s="17">
        <f t="shared" si="1"/>
        <v>16497</v>
      </c>
      <c r="G27" s="17">
        <f t="shared" si="6"/>
        <v>8.5204395316672232E-6</v>
      </c>
      <c r="H27" s="17">
        <f t="shared" si="2"/>
        <v>4.2691889653744628E-3</v>
      </c>
      <c r="I27" s="17">
        <f t="shared" si="11"/>
        <v>0.45563730620155118</v>
      </c>
      <c r="J27" s="17">
        <f t="shared" si="8"/>
        <v>1.2811548440648392E-8</v>
      </c>
      <c r="K27" s="17">
        <f t="shared" si="3"/>
        <v>1.5215827338129495E-3</v>
      </c>
      <c r="L27" s="17">
        <v>390</v>
      </c>
      <c r="M27" s="17">
        <v>139</v>
      </c>
      <c r="N27" s="17">
        <v>164</v>
      </c>
      <c r="O27" s="17">
        <v>392.7</v>
      </c>
      <c r="P27" s="17">
        <f t="shared" si="4"/>
        <v>1.412589928057554</v>
      </c>
      <c r="Q27" s="17">
        <f t="shared" si="12"/>
        <v>663.3</v>
      </c>
      <c r="R27" s="17">
        <f t="shared" si="5"/>
        <v>288339338.92909938</v>
      </c>
      <c r="S27" s="18">
        <f t="shared" si="10"/>
        <v>73515733.333333328</v>
      </c>
    </row>
    <row r="28" spans="1:21" x14ac:dyDescent="0.25">
      <c r="A28" s="354" t="s">
        <v>37</v>
      </c>
      <c r="B28" s="33">
        <v>2</v>
      </c>
      <c r="C28" s="8">
        <v>3.92</v>
      </c>
      <c r="D28" s="8">
        <v>25</v>
      </c>
      <c r="E28" s="8">
        <f t="shared" si="0"/>
        <v>0.31359999999999999</v>
      </c>
      <c r="F28" s="8">
        <f t="shared" si="1"/>
        <v>9750</v>
      </c>
      <c r="G28" s="8">
        <f t="shared" si="6"/>
        <v>5.0357207633967036E-6</v>
      </c>
      <c r="H28" s="8">
        <f t="shared" si="2"/>
        <v>2.5231613270534649E-3</v>
      </c>
      <c r="I28" s="8">
        <f t="shared" si="11"/>
        <v>0.2692891880623825</v>
      </c>
      <c r="J28" s="8">
        <f t="shared" si="8"/>
        <v>7.5718371398631168E-9</v>
      </c>
      <c r="K28" s="8">
        <f t="shared" si="3"/>
        <v>8.9928057553956839E-4</v>
      </c>
      <c r="L28" s="8">
        <v>390</v>
      </c>
      <c r="M28" s="8">
        <v>139</v>
      </c>
      <c r="N28" s="8">
        <v>164</v>
      </c>
      <c r="O28" s="8">
        <v>392.7</v>
      </c>
      <c r="P28" s="8">
        <f t="shared" si="4"/>
        <v>1.412589928057554</v>
      </c>
      <c r="Q28" s="8">
        <f t="shared" si="12"/>
        <v>663.3</v>
      </c>
      <c r="R28" s="8">
        <f t="shared" si="5"/>
        <v>288339338.92909938</v>
      </c>
      <c r="S28" s="9">
        <f t="shared" si="10"/>
        <v>73515733.333333328</v>
      </c>
    </row>
    <row r="29" spans="1:21" x14ac:dyDescent="0.25">
      <c r="A29" s="355"/>
      <c r="B29" s="24">
        <v>3</v>
      </c>
      <c r="C29" s="3">
        <v>4.6500000000000004</v>
      </c>
      <c r="D29" s="3">
        <f>65/2</f>
        <v>32.5</v>
      </c>
      <c r="E29" s="3">
        <f t="shared" si="0"/>
        <v>0.372</v>
      </c>
      <c r="F29" s="3">
        <f t="shared" si="1"/>
        <v>12675</v>
      </c>
      <c r="G29" s="3">
        <f t="shared" si="6"/>
        <v>6.5464369924157145E-6</v>
      </c>
      <c r="H29" s="3">
        <f t="shared" si="2"/>
        <v>3.2801097251695045E-3</v>
      </c>
      <c r="I29" s="3">
        <f t="shared" si="11"/>
        <v>0.35007594448109725</v>
      </c>
      <c r="J29" s="3">
        <f t="shared" si="8"/>
        <v>9.8433882818220515E-9</v>
      </c>
      <c r="K29" s="3">
        <f t="shared" si="3"/>
        <v>1.1690647482014388E-3</v>
      </c>
      <c r="L29" s="3">
        <v>390</v>
      </c>
      <c r="M29" s="3">
        <v>139</v>
      </c>
      <c r="N29" s="3">
        <v>164</v>
      </c>
      <c r="O29" s="3">
        <v>392.7</v>
      </c>
      <c r="P29" s="3">
        <f t="shared" si="4"/>
        <v>1.412589928057554</v>
      </c>
      <c r="Q29" s="3">
        <f t="shared" si="12"/>
        <v>663.3</v>
      </c>
      <c r="R29" s="3">
        <f t="shared" si="5"/>
        <v>288339338.92909938</v>
      </c>
      <c r="S29" s="10">
        <f t="shared" si="10"/>
        <v>73515733.333333328</v>
      </c>
    </row>
    <row r="30" spans="1:21" x14ac:dyDescent="0.25">
      <c r="A30" s="355"/>
      <c r="B30" s="24">
        <v>4</v>
      </c>
      <c r="C30" s="3">
        <v>6.82</v>
      </c>
      <c r="D30" s="3">
        <f>86/2</f>
        <v>43</v>
      </c>
      <c r="E30" s="3">
        <f t="shared" si="0"/>
        <v>0.54559999999999997</v>
      </c>
      <c r="F30" s="3">
        <f t="shared" si="1"/>
        <v>16770</v>
      </c>
      <c r="G30" s="3">
        <f t="shared" si="6"/>
        <v>8.6614397130423298E-6</v>
      </c>
      <c r="H30" s="3">
        <f t="shared" si="2"/>
        <v>4.3398374825319597E-3</v>
      </c>
      <c r="I30" s="3">
        <f t="shared" si="11"/>
        <v>0.46317740346729791</v>
      </c>
      <c r="J30" s="3">
        <f t="shared" si="8"/>
        <v>1.3023559880564561E-8</v>
      </c>
      <c r="K30" s="3">
        <f t="shared" si="3"/>
        <v>1.5467625899280575E-3</v>
      </c>
      <c r="L30" s="3">
        <v>390</v>
      </c>
      <c r="M30" s="3">
        <v>139</v>
      </c>
      <c r="N30" s="3">
        <v>164</v>
      </c>
      <c r="O30" s="3">
        <v>392.7</v>
      </c>
      <c r="P30" s="3">
        <f t="shared" si="4"/>
        <v>1.412589928057554</v>
      </c>
      <c r="Q30" s="3">
        <f t="shared" si="12"/>
        <v>663.3</v>
      </c>
      <c r="R30" s="3">
        <f t="shared" si="5"/>
        <v>288339338.92909938</v>
      </c>
      <c r="S30" s="10">
        <f t="shared" si="10"/>
        <v>73515733.333333328</v>
      </c>
    </row>
    <row r="31" spans="1:21" x14ac:dyDescent="0.25">
      <c r="A31" s="355"/>
      <c r="B31" s="24">
        <v>5</v>
      </c>
      <c r="C31" s="3">
        <v>9.32</v>
      </c>
      <c r="D31" s="3">
        <v>57</v>
      </c>
      <c r="E31" s="3">
        <f t="shared" si="0"/>
        <v>0.74560000000000004</v>
      </c>
      <c r="F31" s="3">
        <f t="shared" si="1"/>
        <v>22230</v>
      </c>
      <c r="G31" s="3">
        <f t="shared" si="6"/>
        <v>1.1481443340544485E-5</v>
      </c>
      <c r="H31" s="3">
        <f t="shared" si="2"/>
        <v>5.7528078256819009E-3</v>
      </c>
      <c r="I31" s="3">
        <f t="shared" si="11"/>
        <v>0.61397934878223204</v>
      </c>
      <c r="J31" s="3">
        <f t="shared" si="8"/>
        <v>1.7263788678887904E-8</v>
      </c>
      <c r="K31" s="3">
        <f t="shared" si="3"/>
        <v>2.0503597122302156E-3</v>
      </c>
      <c r="L31" s="3">
        <v>390</v>
      </c>
      <c r="M31" s="3">
        <v>139</v>
      </c>
      <c r="N31" s="3">
        <v>164</v>
      </c>
      <c r="O31" s="3">
        <v>392.7</v>
      </c>
      <c r="P31" s="3">
        <f t="shared" si="4"/>
        <v>1.412589928057554</v>
      </c>
      <c r="Q31" s="3">
        <f t="shared" si="12"/>
        <v>663.3</v>
      </c>
      <c r="R31" s="3">
        <f t="shared" si="5"/>
        <v>288339338.92909938</v>
      </c>
      <c r="S31" s="10">
        <f t="shared" si="10"/>
        <v>73515733.333333328</v>
      </c>
    </row>
    <row r="32" spans="1:21" ht="15.75" thickBot="1" x14ac:dyDescent="0.3">
      <c r="A32" s="355"/>
      <c r="B32" s="29" t="s">
        <v>28</v>
      </c>
      <c r="C32" s="17">
        <v>9.67</v>
      </c>
      <c r="D32" s="17">
        <f>64.39/2</f>
        <v>32.195</v>
      </c>
      <c r="E32" s="17">
        <f t="shared" si="0"/>
        <v>0.77359999999999995</v>
      </c>
      <c r="F32" s="17">
        <f t="shared" si="1"/>
        <v>12556.05</v>
      </c>
      <c r="G32" s="17">
        <f t="shared" si="6"/>
        <v>6.4850011991022745E-6</v>
      </c>
      <c r="H32" s="17">
        <f t="shared" si="2"/>
        <v>3.2493271569794522E-3</v>
      </c>
      <c r="I32" s="17">
        <f t="shared" si="11"/>
        <v>0.34679061638673614</v>
      </c>
      <c r="J32" s="17">
        <f t="shared" si="8"/>
        <v>9.7510118687157211E-9</v>
      </c>
      <c r="K32" s="17">
        <f t="shared" si="3"/>
        <v>1.1580935251798562E-3</v>
      </c>
      <c r="L32" s="17">
        <v>390</v>
      </c>
      <c r="M32" s="17">
        <v>139</v>
      </c>
      <c r="N32" s="17">
        <v>164</v>
      </c>
      <c r="O32" s="17">
        <v>392.7</v>
      </c>
      <c r="P32" s="17">
        <f t="shared" si="4"/>
        <v>1.412589928057554</v>
      </c>
      <c r="Q32" s="17">
        <f t="shared" si="12"/>
        <v>663.3</v>
      </c>
      <c r="R32" s="17">
        <f t="shared" si="5"/>
        <v>288339338.92909938</v>
      </c>
      <c r="S32" s="18">
        <f t="shared" si="10"/>
        <v>73515733.333333328</v>
      </c>
    </row>
    <row r="33" spans="1:21" ht="15.75" thickBot="1" x14ac:dyDescent="0.3">
      <c r="A33" s="59" t="s">
        <v>38</v>
      </c>
      <c r="B33" s="6" t="s">
        <v>41</v>
      </c>
      <c r="C33" s="8">
        <v>7.2</v>
      </c>
      <c r="D33" s="8">
        <v>50</v>
      </c>
      <c r="E33" s="8">
        <f t="shared" si="0"/>
        <v>0.57600000000000007</v>
      </c>
      <c r="F33" s="8">
        <f t="shared" si="1"/>
        <v>19500</v>
      </c>
      <c r="G33" s="8">
        <f t="shared" si="6"/>
        <v>6.5801799000988136E-6</v>
      </c>
      <c r="H33" s="8">
        <f t="shared" si="2"/>
        <v>3.6696902405058528E-3</v>
      </c>
      <c r="I33" s="8">
        <f t="shared" si="11"/>
        <v>0.42041999736531194</v>
      </c>
      <c r="J33" s="8">
        <f t="shared" si="8"/>
        <v>1.0101208194398959E-8</v>
      </c>
      <c r="K33" s="8">
        <f t="shared" si="3"/>
        <v>1.5337423312883436E-3</v>
      </c>
      <c r="L33" s="8">
        <v>390</v>
      </c>
      <c r="M33" s="8">
        <v>163</v>
      </c>
      <c r="N33" s="8">
        <v>189</v>
      </c>
      <c r="O33" s="8">
        <v>452.39</v>
      </c>
      <c r="P33" s="8">
        <f t="shared" si="4"/>
        <v>1.3876993865030673</v>
      </c>
      <c r="Q33" s="8">
        <v>629</v>
      </c>
      <c r="R33" s="8">
        <f t="shared" si="5"/>
        <v>432276708.56195867</v>
      </c>
      <c r="S33" s="9">
        <f t="shared" si="10"/>
        <v>112521150</v>
      </c>
    </row>
    <row r="34" spans="1:21" ht="15.75" thickBot="1" x14ac:dyDescent="0.3">
      <c r="A34" s="60" t="s">
        <v>39</v>
      </c>
      <c r="B34" s="34" t="s">
        <v>42</v>
      </c>
      <c r="C34" s="3">
        <v>6.53</v>
      </c>
      <c r="D34" s="3">
        <v>50.7</v>
      </c>
      <c r="E34" s="3">
        <f t="shared" si="0"/>
        <v>0.52240000000000009</v>
      </c>
      <c r="F34" s="3">
        <f t="shared" si="1"/>
        <v>19773</v>
      </c>
      <c r="G34" s="3">
        <f t="shared" si="6"/>
        <v>6.672302418700197E-6</v>
      </c>
      <c r="H34" s="3">
        <f t="shared" si="2"/>
        <v>3.7210659038729348E-3</v>
      </c>
      <c r="I34" s="3">
        <f t="shared" si="11"/>
        <v>0.42630587732842629</v>
      </c>
      <c r="J34" s="3">
        <f t="shared" si="8"/>
        <v>1.0242625109120545E-8</v>
      </c>
      <c r="K34" s="3">
        <f t="shared" si="3"/>
        <v>1.5552147239263805E-3</v>
      </c>
      <c r="L34" s="3">
        <v>390</v>
      </c>
      <c r="M34" s="8">
        <v>163</v>
      </c>
      <c r="N34" s="8">
        <v>189</v>
      </c>
      <c r="O34" s="8">
        <v>452.39</v>
      </c>
      <c r="P34" s="3">
        <f t="shared" si="4"/>
        <v>1.3876993865030673</v>
      </c>
      <c r="Q34" s="3">
        <f>Q33</f>
        <v>629</v>
      </c>
      <c r="R34" s="3">
        <f t="shared" si="5"/>
        <v>432276708.56195867</v>
      </c>
      <c r="S34" s="10">
        <f t="shared" si="10"/>
        <v>112521150</v>
      </c>
    </row>
    <row r="35" spans="1:21" ht="15.75" thickBot="1" x14ac:dyDescent="0.3">
      <c r="A35" s="61" t="s">
        <v>40</v>
      </c>
      <c r="B35" s="35" t="s">
        <v>43</v>
      </c>
      <c r="C35" s="17">
        <v>5.4</v>
      </c>
      <c r="D35" s="17">
        <v>44.9</v>
      </c>
      <c r="E35" s="17">
        <f t="shared" si="0"/>
        <v>0.432</v>
      </c>
      <c r="F35" s="17">
        <f t="shared" si="1"/>
        <v>17511</v>
      </c>
      <c r="G35" s="17">
        <f t="shared" si="6"/>
        <v>5.9090015502887345E-6</v>
      </c>
      <c r="H35" s="17">
        <f t="shared" si="2"/>
        <v>3.2953818359742555E-3</v>
      </c>
      <c r="I35" s="17">
        <f t="shared" si="11"/>
        <v>0.3775371576340501</v>
      </c>
      <c r="J35" s="17">
        <f t="shared" si="8"/>
        <v>9.0708849585702656E-9</v>
      </c>
      <c r="K35" s="17">
        <f t="shared" si="3"/>
        <v>1.3773006134969324E-3</v>
      </c>
      <c r="L35" s="17">
        <v>390</v>
      </c>
      <c r="M35" s="21">
        <v>163</v>
      </c>
      <c r="N35" s="21">
        <v>189</v>
      </c>
      <c r="O35" s="21">
        <v>452.39</v>
      </c>
      <c r="P35" s="17">
        <f t="shared" si="4"/>
        <v>1.3876993865030673</v>
      </c>
      <c r="Q35" s="17">
        <f>Q34</f>
        <v>629</v>
      </c>
      <c r="R35" s="17">
        <f t="shared" si="5"/>
        <v>432276708.56195867</v>
      </c>
      <c r="S35" s="18">
        <f t="shared" si="10"/>
        <v>112521150</v>
      </c>
    </row>
    <row r="36" spans="1:21" x14ac:dyDescent="0.25">
      <c r="A36" s="357" t="s">
        <v>44</v>
      </c>
      <c r="B36" s="39">
        <v>2</v>
      </c>
      <c r="C36" s="8">
        <v>3.25</v>
      </c>
      <c r="D36" s="19">
        <f>71.3/2</f>
        <v>35.65</v>
      </c>
      <c r="E36" s="36">
        <f t="shared" si="0"/>
        <v>0.26</v>
      </c>
      <c r="F36" s="8">
        <f t="shared" si="1"/>
        <v>13903.5</v>
      </c>
      <c r="G36" s="8">
        <f t="shared" si="6"/>
        <v>2.409776144137305E-6</v>
      </c>
      <c r="H36" s="8">
        <f t="shared" si="2"/>
        <v>1.5763605442176871E-3</v>
      </c>
      <c r="I36" s="8">
        <f t="shared" si="11"/>
        <v>0.18613552633502012</v>
      </c>
      <c r="J36" s="8">
        <f>D36/($V$7*R36*0.001)</f>
        <v>5.0632151118157129E-9</v>
      </c>
      <c r="K36" s="8">
        <f t="shared" si="3"/>
        <v>8.4880952380952382E-4</v>
      </c>
      <c r="L36" s="36">
        <v>390</v>
      </c>
      <c r="M36" s="36">
        <v>210</v>
      </c>
      <c r="N36" s="36">
        <v>236</v>
      </c>
      <c r="O36" s="36">
        <v>565.49</v>
      </c>
      <c r="P36" s="36">
        <f t="shared" si="4"/>
        <v>1.3464047619047619</v>
      </c>
      <c r="Q36" s="36">
        <v>629</v>
      </c>
      <c r="R36" s="36">
        <f t="shared" si="5"/>
        <v>614891244.82907891</v>
      </c>
      <c r="S36" s="37">
        <f t="shared" si="10"/>
        <v>219070933.33333334</v>
      </c>
      <c r="T36" s="1"/>
      <c r="U36" s="1"/>
    </row>
    <row r="37" spans="1:21" x14ac:dyDescent="0.25">
      <c r="A37" s="358"/>
      <c r="B37" s="34">
        <v>3</v>
      </c>
      <c r="C37" s="3">
        <v>3.53</v>
      </c>
      <c r="D37" s="13">
        <f>85/2</f>
        <v>42.5</v>
      </c>
      <c r="E37" s="7">
        <f t="shared" si="0"/>
        <v>0.28239999999999998</v>
      </c>
      <c r="F37" s="3">
        <f t="shared" si="1"/>
        <v>16575</v>
      </c>
      <c r="G37" s="3">
        <f t="shared" si="6"/>
        <v>2.8728046599112333E-6</v>
      </c>
      <c r="H37" s="3">
        <f t="shared" si="2"/>
        <v>1.879251700680272E-3</v>
      </c>
      <c r="I37" s="3">
        <f t="shared" si="11"/>
        <v>0.22190069759434378</v>
      </c>
      <c r="J37" s="3">
        <f t="shared" ref="J37:J58" si="13">D37/($V$7*R37*0.001)</f>
        <v>6.0360909467648754E-9</v>
      </c>
      <c r="K37" s="3">
        <f t="shared" si="3"/>
        <v>1.0119047619047618E-3</v>
      </c>
      <c r="L37" s="7">
        <v>390</v>
      </c>
      <c r="M37" s="7">
        <v>210</v>
      </c>
      <c r="N37" s="7">
        <v>236</v>
      </c>
      <c r="O37" s="7">
        <v>565.49</v>
      </c>
      <c r="P37" s="7">
        <f t="shared" si="4"/>
        <v>1.3464047619047619</v>
      </c>
      <c r="Q37" s="7">
        <v>629</v>
      </c>
      <c r="R37" s="7">
        <f t="shared" si="5"/>
        <v>614891244.82907891</v>
      </c>
      <c r="S37" s="38">
        <f t="shared" si="10"/>
        <v>219070933.33333334</v>
      </c>
      <c r="T37" s="1"/>
      <c r="U37" s="1"/>
    </row>
    <row r="38" spans="1:21" x14ac:dyDescent="0.25">
      <c r="A38" s="358"/>
      <c r="B38" s="34">
        <v>4</v>
      </c>
      <c r="C38" s="3">
        <v>3.85</v>
      </c>
      <c r="D38" s="13">
        <f>94/2</f>
        <v>47</v>
      </c>
      <c r="E38" s="3">
        <f t="shared" si="0"/>
        <v>0.30800000000000005</v>
      </c>
      <c r="F38" s="3">
        <f t="shared" si="1"/>
        <v>18330</v>
      </c>
      <c r="G38" s="3">
        <f t="shared" si="6"/>
        <v>3.176983976843011E-6</v>
      </c>
      <c r="H38" s="3">
        <f t="shared" si="2"/>
        <v>2.078231292517007E-3</v>
      </c>
      <c r="I38" s="3">
        <f t="shared" si="11"/>
        <v>0.24539606557492136</v>
      </c>
      <c r="J38" s="3">
        <f>D38/($V$7*R38*0.001)</f>
        <v>6.6752064587752736E-9</v>
      </c>
      <c r="K38" s="3">
        <f>D38/($V$4*M38)</f>
        <v>1.1190476190476191E-3</v>
      </c>
      <c r="L38" s="7">
        <v>390</v>
      </c>
      <c r="M38" s="7">
        <v>210</v>
      </c>
      <c r="N38" s="7">
        <v>236</v>
      </c>
      <c r="O38" s="7">
        <v>565.49</v>
      </c>
      <c r="P38" s="7">
        <f t="shared" si="4"/>
        <v>1.3464047619047619</v>
      </c>
      <c r="Q38" s="7">
        <v>629</v>
      </c>
      <c r="R38" s="7">
        <f t="shared" si="5"/>
        <v>614891244.82907891</v>
      </c>
      <c r="S38" s="38">
        <f t="shared" si="10"/>
        <v>219070933.33333334</v>
      </c>
    </row>
    <row r="39" spans="1:21" x14ac:dyDescent="0.25">
      <c r="A39" s="358"/>
      <c r="B39" s="34">
        <v>5</v>
      </c>
      <c r="C39" s="3">
        <v>4.55</v>
      </c>
      <c r="D39" s="3">
        <f>124/2</f>
        <v>62</v>
      </c>
      <c r="E39" s="3">
        <f t="shared" si="0"/>
        <v>0.36399999999999999</v>
      </c>
      <c r="F39" s="3">
        <f t="shared" si="1"/>
        <v>24180</v>
      </c>
      <c r="G39" s="3">
        <f t="shared" si="6"/>
        <v>4.1909150332822701E-6</v>
      </c>
      <c r="H39" s="3">
        <f t="shared" si="2"/>
        <v>2.7414965986394557E-3</v>
      </c>
      <c r="I39" s="3">
        <f t="shared" si="11"/>
        <v>0.32371395884351328</v>
      </c>
      <c r="J39" s="3">
        <f t="shared" si="13"/>
        <v>8.8055914988099353E-9</v>
      </c>
      <c r="K39" s="3">
        <f t="shared" si="3"/>
        <v>1.4761904761904762E-3</v>
      </c>
      <c r="L39" s="7">
        <v>390</v>
      </c>
      <c r="M39" s="7">
        <v>210</v>
      </c>
      <c r="N39" s="7">
        <v>236</v>
      </c>
      <c r="O39" s="7">
        <v>565.49</v>
      </c>
      <c r="P39" s="7">
        <f t="shared" si="4"/>
        <v>1.3464047619047619</v>
      </c>
      <c r="Q39" s="7">
        <v>629</v>
      </c>
      <c r="R39" s="7">
        <f t="shared" si="5"/>
        <v>614891244.82907891</v>
      </c>
      <c r="S39" s="38">
        <f t="shared" si="10"/>
        <v>219070933.33333334</v>
      </c>
    </row>
    <row r="40" spans="1:21" ht="15.75" thickBot="1" x14ac:dyDescent="0.3">
      <c r="A40" s="358"/>
      <c r="B40" s="40">
        <v>6</v>
      </c>
      <c r="C40" s="17">
        <v>4.6399999999999997</v>
      </c>
      <c r="D40" s="17">
        <f>126.5/2</f>
        <v>63.25</v>
      </c>
      <c r="E40" s="17">
        <f t="shared" si="0"/>
        <v>0.37119999999999997</v>
      </c>
      <c r="F40" s="17">
        <f t="shared" si="1"/>
        <v>24667.5</v>
      </c>
      <c r="G40" s="17">
        <f t="shared" si="6"/>
        <v>4.2754092879855416E-6</v>
      </c>
      <c r="H40" s="17">
        <f t="shared" si="2"/>
        <v>2.796768707482993E-3</v>
      </c>
      <c r="I40" s="17">
        <f t="shared" si="11"/>
        <v>0.33024044994922924</v>
      </c>
      <c r="J40" s="17">
        <f t="shared" si="13"/>
        <v>8.983123585479491E-9</v>
      </c>
      <c r="K40" s="17">
        <f t="shared" si="3"/>
        <v>1.505952380952381E-3</v>
      </c>
      <c r="L40" s="41">
        <v>390</v>
      </c>
      <c r="M40" s="41">
        <v>210</v>
      </c>
      <c r="N40" s="41">
        <v>236</v>
      </c>
      <c r="O40" s="41">
        <v>565.49</v>
      </c>
      <c r="P40" s="41">
        <f t="shared" si="4"/>
        <v>1.3464047619047619</v>
      </c>
      <c r="Q40" s="41">
        <v>629</v>
      </c>
      <c r="R40" s="41">
        <f t="shared" si="5"/>
        <v>614891244.82907891</v>
      </c>
      <c r="S40" s="42">
        <f t="shared" si="10"/>
        <v>219070933.33333334</v>
      </c>
    </row>
    <row r="41" spans="1:21" x14ac:dyDescent="0.25">
      <c r="A41" s="354" t="s">
        <v>45</v>
      </c>
      <c r="B41" s="23">
        <v>2</v>
      </c>
      <c r="C41" s="8">
        <v>2.13</v>
      </c>
      <c r="D41" s="8">
        <f>104/2</f>
        <v>52</v>
      </c>
      <c r="E41" s="8">
        <f t="shared" si="0"/>
        <v>0.1704</v>
      </c>
      <c r="F41" s="8">
        <f t="shared" si="1"/>
        <v>20280</v>
      </c>
      <c r="G41" s="8">
        <f t="shared" si="6"/>
        <v>3.5149609956560972E-6</v>
      </c>
      <c r="H41" s="8">
        <f t="shared" si="2"/>
        <v>2.2993197278911564E-3</v>
      </c>
      <c r="I41" s="8">
        <f t="shared" si="11"/>
        <v>0.27150202999778533</v>
      </c>
      <c r="J41" s="8">
        <f t="shared" si="13"/>
        <v>7.3853348054534947E-9</v>
      </c>
      <c r="K41" s="8">
        <f t="shared" si="3"/>
        <v>1.238095238095238E-3</v>
      </c>
      <c r="L41" s="36">
        <v>390</v>
      </c>
      <c r="M41" s="36">
        <v>210</v>
      </c>
      <c r="N41" s="36">
        <v>236</v>
      </c>
      <c r="O41" s="36">
        <v>565.49</v>
      </c>
      <c r="P41" s="36">
        <f t="shared" si="4"/>
        <v>1.3464047619047619</v>
      </c>
      <c r="Q41" s="36">
        <v>629</v>
      </c>
      <c r="R41" s="36">
        <f t="shared" si="5"/>
        <v>614891244.82907891</v>
      </c>
      <c r="S41" s="37">
        <f t="shared" si="10"/>
        <v>219070933.33333334</v>
      </c>
    </row>
    <row r="42" spans="1:21" x14ac:dyDescent="0.25">
      <c r="A42" s="355"/>
      <c r="B42" s="24">
        <v>3</v>
      </c>
      <c r="C42" s="3">
        <v>2.77</v>
      </c>
      <c r="D42" s="3">
        <f>120/2</f>
        <v>60</v>
      </c>
      <c r="E42" s="3">
        <f t="shared" si="0"/>
        <v>0.22160000000000002</v>
      </c>
      <c r="F42" s="3">
        <f t="shared" si="1"/>
        <v>23400</v>
      </c>
      <c r="G42" s="3">
        <f t="shared" si="6"/>
        <v>4.0557242257570349E-6</v>
      </c>
      <c r="H42" s="3">
        <f t="shared" si="2"/>
        <v>2.6530612244897961E-3</v>
      </c>
      <c r="I42" s="3">
        <f t="shared" si="11"/>
        <v>0.3132715730743677</v>
      </c>
      <c r="J42" s="3">
        <f t="shared" si="13"/>
        <v>8.5215401601386469E-9</v>
      </c>
      <c r="K42" s="3">
        <f t="shared" si="3"/>
        <v>1.4285714285714286E-3</v>
      </c>
      <c r="L42" s="7">
        <v>390</v>
      </c>
      <c r="M42" s="7">
        <v>210</v>
      </c>
      <c r="N42" s="7">
        <v>236</v>
      </c>
      <c r="O42" s="7">
        <v>565.49</v>
      </c>
      <c r="P42" s="7">
        <f t="shared" si="4"/>
        <v>1.3464047619047619</v>
      </c>
      <c r="Q42" s="7">
        <v>629</v>
      </c>
      <c r="R42" s="7">
        <f t="shared" si="5"/>
        <v>614891244.82907891</v>
      </c>
      <c r="S42" s="38">
        <f t="shared" si="10"/>
        <v>219070933.33333334</v>
      </c>
    </row>
    <row r="43" spans="1:21" x14ac:dyDescent="0.25">
      <c r="A43" s="355"/>
      <c r="B43" s="24">
        <v>4</v>
      </c>
      <c r="C43" s="3">
        <v>2.82</v>
      </c>
      <c r="D43" s="3">
        <f>124/2</f>
        <v>62</v>
      </c>
      <c r="E43" s="3">
        <f t="shared" si="0"/>
        <v>0.22559999999999997</v>
      </c>
      <c r="F43" s="3">
        <f t="shared" si="1"/>
        <v>24180</v>
      </c>
      <c r="G43" s="3">
        <f t="shared" si="6"/>
        <v>4.1909150332822701E-6</v>
      </c>
      <c r="H43" s="3">
        <f t="shared" si="2"/>
        <v>2.7414965986394557E-3</v>
      </c>
      <c r="I43" s="3">
        <f t="shared" si="11"/>
        <v>0.32371395884351328</v>
      </c>
      <c r="J43" s="3">
        <f t="shared" si="13"/>
        <v>8.8055914988099353E-9</v>
      </c>
      <c r="K43" s="3">
        <f t="shared" si="3"/>
        <v>1.4761904761904762E-3</v>
      </c>
      <c r="L43" s="7">
        <v>390</v>
      </c>
      <c r="M43" s="7">
        <v>210</v>
      </c>
      <c r="N43" s="7">
        <v>236</v>
      </c>
      <c r="O43" s="7">
        <v>565.49</v>
      </c>
      <c r="P43" s="7">
        <f t="shared" si="4"/>
        <v>1.3464047619047619</v>
      </c>
      <c r="Q43" s="7">
        <v>629</v>
      </c>
      <c r="R43" s="7">
        <f t="shared" si="5"/>
        <v>614891244.82907891</v>
      </c>
      <c r="S43" s="38">
        <f t="shared" si="10"/>
        <v>219070933.33333334</v>
      </c>
    </row>
    <row r="44" spans="1:21" x14ac:dyDescent="0.25">
      <c r="A44" s="355"/>
      <c r="B44" s="24">
        <v>5</v>
      </c>
      <c r="C44" s="3">
        <v>3.51</v>
      </c>
      <c r="D44" s="3">
        <f>133/2</f>
        <v>66.5</v>
      </c>
      <c r="E44" s="3">
        <f t="shared" si="0"/>
        <v>0.28079999999999999</v>
      </c>
      <c r="F44" s="3">
        <f t="shared" si="1"/>
        <v>25935</v>
      </c>
      <c r="G44" s="3">
        <f t="shared" si="6"/>
        <v>4.4950943502140473E-6</v>
      </c>
      <c r="H44" s="3">
        <f t="shared" si="2"/>
        <v>2.9404761904761904E-3</v>
      </c>
      <c r="I44" s="3">
        <f t="shared" si="11"/>
        <v>0.34720932682409084</v>
      </c>
      <c r="J44" s="3">
        <f t="shared" si="13"/>
        <v>9.4447070108203351E-9</v>
      </c>
      <c r="K44" s="3">
        <f t="shared" si="3"/>
        <v>1.5833333333333333E-3</v>
      </c>
      <c r="L44" s="7">
        <v>390</v>
      </c>
      <c r="M44" s="7">
        <v>210</v>
      </c>
      <c r="N44" s="7">
        <v>236</v>
      </c>
      <c r="O44" s="7">
        <v>565.49</v>
      </c>
      <c r="P44" s="7">
        <f t="shared" si="4"/>
        <v>1.3464047619047619</v>
      </c>
      <c r="Q44" s="7">
        <v>629</v>
      </c>
      <c r="R44" s="7">
        <f t="shared" si="5"/>
        <v>614891244.82907891</v>
      </c>
      <c r="S44" s="38">
        <f t="shared" si="10"/>
        <v>219070933.33333334</v>
      </c>
    </row>
    <row r="45" spans="1:21" ht="15.75" thickBot="1" x14ac:dyDescent="0.3">
      <c r="A45" s="355"/>
      <c r="B45" s="30">
        <v>6</v>
      </c>
      <c r="C45" s="17">
        <v>3.66</v>
      </c>
      <c r="D45" s="17">
        <v>70.099999999999994</v>
      </c>
      <c r="E45" s="17">
        <f t="shared" si="0"/>
        <v>0.2928</v>
      </c>
      <c r="F45" s="17">
        <f>D45*L45</f>
        <v>27338.999999999996</v>
      </c>
      <c r="G45" s="17">
        <f t="shared" si="6"/>
        <v>4.7384378037594686E-6</v>
      </c>
      <c r="H45" s="17">
        <f t="shared" si="2"/>
        <v>3.0996598639455777E-3</v>
      </c>
      <c r="I45" s="17">
        <f t="shared" si="11"/>
        <v>0.36600562120855284</v>
      </c>
      <c r="J45" s="17">
        <f t="shared" si="13"/>
        <v>9.9559994204286527E-9</v>
      </c>
      <c r="K45" s="17">
        <f t="shared" si="3"/>
        <v>1.6690476190476188E-3</v>
      </c>
      <c r="L45" s="41">
        <v>390</v>
      </c>
      <c r="M45" s="41">
        <v>210</v>
      </c>
      <c r="N45" s="41">
        <v>236</v>
      </c>
      <c r="O45" s="41">
        <v>565.49</v>
      </c>
      <c r="P45" s="41">
        <f t="shared" si="4"/>
        <v>1.3464047619047619</v>
      </c>
      <c r="Q45" s="41">
        <v>629</v>
      </c>
      <c r="R45" s="41">
        <f t="shared" si="5"/>
        <v>614891244.82907891</v>
      </c>
      <c r="S45" s="42">
        <f t="shared" si="10"/>
        <v>219070933.33333334</v>
      </c>
    </row>
    <row r="46" spans="1:21" x14ac:dyDescent="0.25">
      <c r="A46" s="359" t="s">
        <v>46</v>
      </c>
      <c r="B46" s="23">
        <v>2</v>
      </c>
      <c r="C46" s="8">
        <v>3.6</v>
      </c>
      <c r="D46" s="8">
        <f>96/2</f>
        <v>48</v>
      </c>
      <c r="E46" s="8">
        <f t="shared" si="0"/>
        <v>0.28800000000000003</v>
      </c>
      <c r="F46" s="17">
        <f t="shared" ref="F46:F58" si="14">D46*L46</f>
        <v>18720</v>
      </c>
      <c r="G46" s="8">
        <f t="shared" si="6"/>
        <v>3.2445793806056281E-6</v>
      </c>
      <c r="H46" s="8">
        <f t="shared" si="2"/>
        <v>2.1224489795918368E-3</v>
      </c>
      <c r="I46" s="8">
        <f t="shared" si="11"/>
        <v>0.25061725845949412</v>
      </c>
      <c r="J46" s="8">
        <f t="shared" si="13"/>
        <v>6.8172321281109178E-9</v>
      </c>
      <c r="K46" s="8">
        <f t="shared" si="3"/>
        <v>1.1428571428571429E-3</v>
      </c>
      <c r="L46" s="36">
        <v>390</v>
      </c>
      <c r="M46" s="36">
        <v>210</v>
      </c>
      <c r="N46" s="36">
        <v>236</v>
      </c>
      <c r="O46" s="36">
        <v>565.49</v>
      </c>
      <c r="P46" s="36">
        <f t="shared" si="4"/>
        <v>1.3464047619047619</v>
      </c>
      <c r="Q46" s="36">
        <v>629</v>
      </c>
      <c r="R46" s="36">
        <f t="shared" si="5"/>
        <v>614891244.82907891</v>
      </c>
      <c r="S46" s="37">
        <f t="shared" si="10"/>
        <v>219070933.33333334</v>
      </c>
    </row>
    <row r="47" spans="1:21" x14ac:dyDescent="0.25">
      <c r="A47" s="360"/>
      <c r="B47" s="24">
        <v>3</v>
      </c>
      <c r="C47" s="3">
        <v>3.93</v>
      </c>
      <c r="D47" s="3">
        <f>120/2</f>
        <v>60</v>
      </c>
      <c r="E47" s="3">
        <f t="shared" si="0"/>
        <v>0.31440000000000001</v>
      </c>
      <c r="F47" s="17">
        <f>D47*L47</f>
        <v>23400</v>
      </c>
      <c r="G47" s="3">
        <f t="shared" si="6"/>
        <v>4.0557242257570349E-6</v>
      </c>
      <c r="H47" s="3">
        <f t="shared" si="2"/>
        <v>2.6530612244897961E-3</v>
      </c>
      <c r="I47" s="3">
        <f t="shared" si="11"/>
        <v>0.3132715730743677</v>
      </c>
      <c r="J47" s="3">
        <f t="shared" si="13"/>
        <v>8.5215401601386469E-9</v>
      </c>
      <c r="K47" s="3">
        <f t="shared" si="3"/>
        <v>1.4285714285714286E-3</v>
      </c>
      <c r="L47" s="7">
        <v>390</v>
      </c>
      <c r="M47" s="7">
        <v>210</v>
      </c>
      <c r="N47" s="7">
        <v>236</v>
      </c>
      <c r="O47" s="7">
        <v>565.49</v>
      </c>
      <c r="P47" s="7">
        <f t="shared" si="4"/>
        <v>1.3464047619047619</v>
      </c>
      <c r="Q47" s="7">
        <v>629</v>
      </c>
      <c r="R47" s="7">
        <f t="shared" si="5"/>
        <v>614891244.82907891</v>
      </c>
      <c r="S47" s="38">
        <f t="shared" si="10"/>
        <v>219070933.33333334</v>
      </c>
    </row>
    <row r="48" spans="1:21" ht="15.75" thickBot="1" x14ac:dyDescent="0.3">
      <c r="A48" s="361"/>
      <c r="B48" s="30">
        <v>4</v>
      </c>
      <c r="C48" s="17">
        <v>3.97</v>
      </c>
      <c r="D48" s="17">
        <f>124/2</f>
        <v>62</v>
      </c>
      <c r="E48" s="17">
        <f t="shared" si="0"/>
        <v>0.31759999999999999</v>
      </c>
      <c r="F48" s="17">
        <f t="shared" si="14"/>
        <v>24180</v>
      </c>
      <c r="G48" s="17">
        <f t="shared" si="6"/>
        <v>4.1909150332822701E-6</v>
      </c>
      <c r="H48" s="17">
        <f t="shared" si="2"/>
        <v>2.7414965986394557E-3</v>
      </c>
      <c r="I48" s="17">
        <f t="shared" si="11"/>
        <v>0.32371395884351328</v>
      </c>
      <c r="J48" s="17">
        <f t="shared" si="13"/>
        <v>8.8055914988099353E-9</v>
      </c>
      <c r="K48" s="17">
        <f t="shared" si="3"/>
        <v>1.4761904761904762E-3</v>
      </c>
      <c r="L48" s="41">
        <v>390</v>
      </c>
      <c r="M48" s="41">
        <v>210</v>
      </c>
      <c r="N48" s="41">
        <v>236</v>
      </c>
      <c r="O48" s="41">
        <v>565.49</v>
      </c>
      <c r="P48" s="41">
        <f t="shared" si="4"/>
        <v>1.3464047619047619</v>
      </c>
      <c r="Q48" s="41">
        <v>629</v>
      </c>
      <c r="R48" s="41">
        <f t="shared" si="5"/>
        <v>614891244.82907891</v>
      </c>
      <c r="S48" s="42">
        <f t="shared" si="10"/>
        <v>219070933.33333334</v>
      </c>
    </row>
    <row r="49" spans="1:20" x14ac:dyDescent="0.25">
      <c r="A49" s="354" t="s">
        <v>47</v>
      </c>
      <c r="B49" s="46">
        <v>2</v>
      </c>
      <c r="C49" s="47">
        <v>2.87</v>
      </c>
      <c r="D49" s="47">
        <f>144/2</f>
        <v>72</v>
      </c>
      <c r="E49" s="47">
        <f t="shared" si="0"/>
        <v>0.22960000000000003</v>
      </c>
      <c r="F49" s="17">
        <f t="shared" si="14"/>
        <v>25200</v>
      </c>
      <c r="G49" s="21">
        <f t="shared" si="6"/>
        <v>1.5270550307411107E-6</v>
      </c>
      <c r="H49" s="21">
        <f t="shared" si="2"/>
        <v>1.3368842109730606E-3</v>
      </c>
      <c r="I49" s="21">
        <f t="shared" si="11"/>
        <v>0.16009984321770188</v>
      </c>
      <c r="J49" s="21">
        <f t="shared" si="13"/>
        <v>7.0667033414538448E-9</v>
      </c>
      <c r="K49" s="21">
        <f t="shared" si="3"/>
        <v>1.1726384364820848E-3</v>
      </c>
      <c r="L49" s="47">
        <v>350</v>
      </c>
      <c r="M49" s="47">
        <v>307</v>
      </c>
      <c r="N49" s="47">
        <v>335</v>
      </c>
      <c r="O49" s="47">
        <v>804.25</v>
      </c>
      <c r="P49" s="47">
        <f t="shared" si="4"/>
        <v>1.3098534201954397</v>
      </c>
      <c r="Q49" s="47">
        <v>637.5</v>
      </c>
      <c r="R49" s="47">
        <f t="shared" si="5"/>
        <v>889776211.12658358</v>
      </c>
      <c r="S49" s="48">
        <f t="shared" si="10"/>
        <v>626589583.33333337</v>
      </c>
      <c r="T49"/>
    </row>
    <row r="50" spans="1:20" x14ac:dyDescent="0.25">
      <c r="A50" s="355"/>
      <c r="B50" s="45">
        <v>3</v>
      </c>
      <c r="C50" s="44">
        <v>3.33</v>
      </c>
      <c r="D50" s="44">
        <f>177/2</f>
        <v>88.5</v>
      </c>
      <c r="E50" s="44">
        <f t="shared" si="0"/>
        <v>0.26640000000000003</v>
      </c>
      <c r="F50" s="17">
        <f t="shared" si="14"/>
        <v>30975</v>
      </c>
      <c r="G50" s="17">
        <f t="shared" si="6"/>
        <v>1.8770051419526153E-6</v>
      </c>
      <c r="H50" s="17">
        <f t="shared" si="2"/>
        <v>1.6432535093210538E-3</v>
      </c>
      <c r="I50" s="17">
        <f t="shared" si="11"/>
        <v>0.19678939062175857</v>
      </c>
      <c r="J50" s="17">
        <f t="shared" si="13"/>
        <v>8.6861561905370184E-9</v>
      </c>
      <c r="K50" s="17">
        <f t="shared" si="3"/>
        <v>1.4413680781758958E-3</v>
      </c>
      <c r="L50" s="44">
        <v>350</v>
      </c>
      <c r="M50" s="44">
        <v>307</v>
      </c>
      <c r="N50" s="44">
        <v>335</v>
      </c>
      <c r="O50" s="44">
        <v>804.25</v>
      </c>
      <c r="P50" s="44">
        <f t="shared" si="4"/>
        <v>1.3098534201954397</v>
      </c>
      <c r="Q50" s="44">
        <v>637.5</v>
      </c>
      <c r="R50" s="44">
        <f t="shared" si="5"/>
        <v>889776211.12658358</v>
      </c>
      <c r="S50" s="49">
        <f t="shared" si="10"/>
        <v>626589583.33333337</v>
      </c>
      <c r="T50"/>
    </row>
    <row r="51" spans="1:20" x14ac:dyDescent="0.25">
      <c r="A51" s="355"/>
      <c r="B51" s="45">
        <v>4</v>
      </c>
      <c r="C51" s="44">
        <v>3.45</v>
      </c>
      <c r="D51" s="44">
        <f>181/2</f>
        <v>90.5</v>
      </c>
      <c r="E51" s="44">
        <f t="shared" si="0"/>
        <v>0.27600000000000002</v>
      </c>
      <c r="F51" s="17">
        <f t="shared" si="14"/>
        <v>31675</v>
      </c>
      <c r="G51" s="17">
        <f t="shared" si="6"/>
        <v>1.9194233372509797E-6</v>
      </c>
      <c r="H51" s="17">
        <f t="shared" si="2"/>
        <v>1.6803891818480833E-3</v>
      </c>
      <c r="I51" s="17">
        <f t="shared" si="11"/>
        <v>0.20123660848891695</v>
      </c>
      <c r="J51" s="17">
        <f t="shared" si="13"/>
        <v>8.882453505577403E-9</v>
      </c>
      <c r="K51" s="17">
        <f t="shared" si="3"/>
        <v>1.4739413680781759E-3</v>
      </c>
      <c r="L51" s="44">
        <v>350</v>
      </c>
      <c r="M51" s="44">
        <v>307</v>
      </c>
      <c r="N51" s="44">
        <v>335</v>
      </c>
      <c r="O51" s="44">
        <v>804.25</v>
      </c>
      <c r="P51" s="44">
        <f t="shared" si="4"/>
        <v>1.3098534201954397</v>
      </c>
      <c r="Q51" s="44">
        <v>637.5</v>
      </c>
      <c r="R51" s="44">
        <f t="shared" si="5"/>
        <v>889776211.12658358</v>
      </c>
      <c r="S51" s="49">
        <f t="shared" si="10"/>
        <v>626589583.33333337</v>
      </c>
      <c r="T51"/>
    </row>
    <row r="52" spans="1:20" x14ac:dyDescent="0.25">
      <c r="A52" s="355"/>
      <c r="B52" s="45">
        <v>5</v>
      </c>
      <c r="C52" s="44">
        <v>3.65</v>
      </c>
      <c r="D52" s="44">
        <f>196/2</f>
        <v>98</v>
      </c>
      <c r="E52" s="44">
        <f t="shared" si="0"/>
        <v>0.29199999999999998</v>
      </c>
      <c r="F52" s="17">
        <f t="shared" si="14"/>
        <v>34300</v>
      </c>
      <c r="G52" s="17">
        <f t="shared" si="6"/>
        <v>2.0784915696198451E-6</v>
      </c>
      <c r="H52" s="17">
        <f t="shared" si="2"/>
        <v>1.8196479538244437E-3</v>
      </c>
      <c r="I52" s="17">
        <f t="shared" si="11"/>
        <v>0.21791367549076091</v>
      </c>
      <c r="J52" s="17">
        <f t="shared" si="13"/>
        <v>9.6185684369788443E-9</v>
      </c>
      <c r="K52" s="17">
        <f t="shared" si="3"/>
        <v>1.5960912052117263E-3</v>
      </c>
      <c r="L52" s="44">
        <v>350</v>
      </c>
      <c r="M52" s="44">
        <v>307</v>
      </c>
      <c r="N52" s="44">
        <v>335</v>
      </c>
      <c r="O52" s="44">
        <v>804.25</v>
      </c>
      <c r="P52" s="44">
        <f t="shared" si="4"/>
        <v>1.3098534201954397</v>
      </c>
      <c r="Q52" s="44">
        <v>637.5</v>
      </c>
      <c r="R52" s="44">
        <f t="shared" si="5"/>
        <v>889776211.12658358</v>
      </c>
      <c r="S52" s="49">
        <f t="shared" si="10"/>
        <v>626589583.33333337</v>
      </c>
    </row>
    <row r="53" spans="1:20" ht="15.75" thickBot="1" x14ac:dyDescent="0.3">
      <c r="A53" s="355"/>
      <c r="B53" s="43">
        <v>8</v>
      </c>
      <c r="C53" s="52">
        <v>9.4499999999999993</v>
      </c>
      <c r="D53" s="52">
        <v>151</v>
      </c>
      <c r="E53" s="52">
        <f t="shared" si="0"/>
        <v>0.75599999999999989</v>
      </c>
      <c r="F53" s="17">
        <f t="shared" si="14"/>
        <v>52850</v>
      </c>
      <c r="G53" s="17">
        <f t="shared" si="6"/>
        <v>3.202573745026496E-6</v>
      </c>
      <c r="H53" s="17">
        <f t="shared" si="2"/>
        <v>2.8037432757907245E-3</v>
      </c>
      <c r="I53" s="17">
        <f t="shared" si="11"/>
        <v>0.33576494897045811</v>
      </c>
      <c r="J53" s="17">
        <f t="shared" si="13"/>
        <v>1.4820447285549036E-8</v>
      </c>
      <c r="K53" s="17">
        <f t="shared" si="3"/>
        <v>2.4592833876221497E-3</v>
      </c>
      <c r="L53" s="52">
        <v>350</v>
      </c>
      <c r="M53" s="52">
        <v>307</v>
      </c>
      <c r="N53" s="52">
        <v>335</v>
      </c>
      <c r="O53" s="52">
        <v>804.25</v>
      </c>
      <c r="P53" s="52">
        <f t="shared" si="4"/>
        <v>1.3098534201954397</v>
      </c>
      <c r="Q53" s="44">
        <v>637.5</v>
      </c>
      <c r="R53" s="52">
        <f t="shared" si="5"/>
        <v>889776211.12658358</v>
      </c>
      <c r="S53" s="53">
        <f t="shared" si="10"/>
        <v>626589583.33333337</v>
      </c>
    </row>
    <row r="54" spans="1:20" ht="15.75" thickBot="1" x14ac:dyDescent="0.3">
      <c r="A54" s="354" t="s">
        <v>48</v>
      </c>
      <c r="B54" s="54">
        <v>2</v>
      </c>
      <c r="C54" s="8">
        <v>3.51</v>
      </c>
      <c r="D54" s="19">
        <f>0.8*D56</f>
        <v>72</v>
      </c>
      <c r="E54" s="47">
        <f t="shared" si="0"/>
        <v>0.28079999999999999</v>
      </c>
      <c r="F54" s="8">
        <f t="shared" si="14"/>
        <v>25200</v>
      </c>
      <c r="G54" s="8">
        <f t="shared" si="6"/>
        <v>1.5270550307411107E-6</v>
      </c>
      <c r="H54" s="8">
        <f t="shared" si="2"/>
        <v>1.3368842109730606E-3</v>
      </c>
      <c r="I54" s="8">
        <f t="shared" si="11"/>
        <v>0.15934996104806395</v>
      </c>
      <c r="J54" s="8">
        <f t="shared" si="13"/>
        <v>7.0667033414538448E-9</v>
      </c>
      <c r="K54" s="8">
        <f t="shared" si="3"/>
        <v>1.1726384364820848E-3</v>
      </c>
      <c r="L54" s="47">
        <v>350</v>
      </c>
      <c r="M54" s="47">
        <v>307</v>
      </c>
      <c r="N54" s="47">
        <v>335</v>
      </c>
      <c r="O54" s="47">
        <v>804.25</v>
      </c>
      <c r="P54" s="47">
        <f t="shared" si="4"/>
        <v>1.3098534201954397</v>
      </c>
      <c r="Q54" s="47">
        <v>640.5</v>
      </c>
      <c r="R54" s="47">
        <f t="shared" si="5"/>
        <v>889776211.12658358</v>
      </c>
      <c r="S54" s="48">
        <f t="shared" si="10"/>
        <v>626589583.33333337</v>
      </c>
    </row>
    <row r="55" spans="1:20" ht="15.75" thickBot="1" x14ac:dyDescent="0.3">
      <c r="A55" s="355"/>
      <c r="B55" s="24">
        <v>3</v>
      </c>
      <c r="C55" s="3">
        <v>3.84</v>
      </c>
      <c r="D55" s="13">
        <f>0.9*D56</f>
        <v>81</v>
      </c>
      <c r="E55" s="44">
        <f t="shared" si="0"/>
        <v>0.30720000000000003</v>
      </c>
      <c r="F55" s="3">
        <f t="shared" si="14"/>
        <v>28350</v>
      </c>
      <c r="G55" s="3">
        <f t="shared" si="6"/>
        <v>1.7179369095837495E-6</v>
      </c>
      <c r="H55" s="3">
        <f t="shared" si="2"/>
        <v>1.5039947373446934E-3</v>
      </c>
      <c r="I55" s="3">
        <f t="shared" si="11"/>
        <v>0.17926870617907195</v>
      </c>
      <c r="J55" s="3">
        <f t="shared" si="13"/>
        <v>7.9500412591355754E-9</v>
      </c>
      <c r="K55" s="3">
        <f t="shared" si="3"/>
        <v>1.3192182410423452E-3</v>
      </c>
      <c r="L55" s="44">
        <v>350</v>
      </c>
      <c r="M55" s="44">
        <v>307</v>
      </c>
      <c r="N55" s="44">
        <v>335</v>
      </c>
      <c r="O55" s="44">
        <v>804.25</v>
      </c>
      <c r="P55" s="44">
        <f t="shared" si="4"/>
        <v>1.3098534201954397</v>
      </c>
      <c r="Q55" s="47">
        <v>640.5</v>
      </c>
      <c r="R55" s="44">
        <f t="shared" si="5"/>
        <v>889776211.12658358</v>
      </c>
      <c r="S55" s="49">
        <f t="shared" si="10"/>
        <v>626589583.33333337</v>
      </c>
    </row>
    <row r="56" spans="1:20" ht="15.75" thickBot="1" x14ac:dyDescent="0.3">
      <c r="A56" s="355"/>
      <c r="B56" s="24">
        <v>4</v>
      </c>
      <c r="C56" s="7">
        <v>4.33</v>
      </c>
      <c r="D56" s="7">
        <f>180/2</f>
        <v>90</v>
      </c>
      <c r="E56" s="44">
        <f t="shared" si="0"/>
        <v>0.34639999999999999</v>
      </c>
      <c r="F56" s="3">
        <f t="shared" si="14"/>
        <v>31500</v>
      </c>
      <c r="G56" s="3">
        <f t="shared" si="6"/>
        <v>1.9088187884263886E-6</v>
      </c>
      <c r="H56" s="3">
        <f t="shared" si="2"/>
        <v>1.6711052637163259E-3</v>
      </c>
      <c r="I56" s="3">
        <f t="shared" si="11"/>
        <v>0.19918745131007992</v>
      </c>
      <c r="J56" s="3">
        <f t="shared" si="13"/>
        <v>8.833379176817306E-9</v>
      </c>
      <c r="K56" s="3">
        <f t="shared" si="3"/>
        <v>1.4657980456026058E-3</v>
      </c>
      <c r="L56" s="44">
        <v>350</v>
      </c>
      <c r="M56" s="44">
        <v>307</v>
      </c>
      <c r="N56" s="44">
        <v>335</v>
      </c>
      <c r="O56" s="44">
        <v>804.25</v>
      </c>
      <c r="P56" s="44">
        <f t="shared" si="4"/>
        <v>1.3098534201954397</v>
      </c>
      <c r="Q56" s="47">
        <v>640.5</v>
      </c>
      <c r="R56" s="44">
        <f t="shared" si="5"/>
        <v>889776211.12658358</v>
      </c>
      <c r="S56" s="49">
        <f t="shared" si="10"/>
        <v>626589583.33333337</v>
      </c>
    </row>
    <row r="57" spans="1:20" ht="15.75" thickBot="1" x14ac:dyDescent="0.3">
      <c r="A57" s="355"/>
      <c r="B57" s="24">
        <v>7</v>
      </c>
      <c r="C57" s="3">
        <v>7.79</v>
      </c>
      <c r="D57" s="3">
        <f>374.5/2</f>
        <v>187.25</v>
      </c>
      <c r="E57" s="44">
        <f t="shared" si="0"/>
        <v>0.62319999999999998</v>
      </c>
      <c r="F57" s="3">
        <f t="shared" si="14"/>
        <v>65537.5</v>
      </c>
      <c r="G57" s="3">
        <f t="shared" si="6"/>
        <v>3.9714035348093469E-6</v>
      </c>
      <c r="H57" s="3">
        <f t="shared" si="2"/>
        <v>3.4768273403431335E-3</v>
      </c>
      <c r="I57" s="3">
        <f t="shared" si="11"/>
        <v>0.41442055842013853</v>
      </c>
      <c r="J57" s="3">
        <f t="shared" si="13"/>
        <v>1.8378336120656007E-8</v>
      </c>
      <c r="K57" s="3">
        <f t="shared" si="3"/>
        <v>3.0496742671009772E-3</v>
      </c>
      <c r="L57" s="44">
        <v>350</v>
      </c>
      <c r="M57" s="44">
        <v>307</v>
      </c>
      <c r="N57" s="44">
        <v>335</v>
      </c>
      <c r="O57" s="44">
        <v>804.25</v>
      </c>
      <c r="P57" s="44">
        <f t="shared" si="4"/>
        <v>1.3098534201954397</v>
      </c>
      <c r="Q57" s="47">
        <v>640.5</v>
      </c>
      <c r="R57" s="44">
        <f t="shared" si="5"/>
        <v>889776211.12658358</v>
      </c>
      <c r="S57" s="49">
        <f t="shared" si="10"/>
        <v>626589583.33333337</v>
      </c>
    </row>
    <row r="58" spans="1:20" ht="15.75" thickBot="1" x14ac:dyDescent="0.3">
      <c r="A58" s="356"/>
      <c r="B58" s="25">
        <v>9</v>
      </c>
      <c r="C58" s="11">
        <v>7.79</v>
      </c>
      <c r="D58" s="11">
        <f>D57</f>
        <v>187.25</v>
      </c>
      <c r="E58" s="50">
        <f t="shared" si="0"/>
        <v>0.62319999999999998</v>
      </c>
      <c r="F58" s="11">
        <f t="shared" si="14"/>
        <v>65537.5</v>
      </c>
      <c r="G58" s="11">
        <f t="shared" si="6"/>
        <v>3.9714035348093469E-6</v>
      </c>
      <c r="H58" s="11">
        <f t="shared" si="2"/>
        <v>3.4768273403431335E-3</v>
      </c>
      <c r="I58" s="11">
        <f t="shared" si="11"/>
        <v>0.41442055842013853</v>
      </c>
      <c r="J58" s="11">
        <f t="shared" si="13"/>
        <v>1.8378336120656007E-8</v>
      </c>
      <c r="K58" s="11">
        <f t="shared" si="3"/>
        <v>3.0496742671009772E-3</v>
      </c>
      <c r="L58" s="50">
        <v>350</v>
      </c>
      <c r="M58" s="50">
        <v>307</v>
      </c>
      <c r="N58" s="50">
        <v>335</v>
      </c>
      <c r="O58" s="50">
        <v>804.25</v>
      </c>
      <c r="P58" s="50">
        <f t="shared" si="4"/>
        <v>1.3098534201954397</v>
      </c>
      <c r="Q58" s="47">
        <v>640.5</v>
      </c>
      <c r="R58" s="50">
        <f t="shared" si="5"/>
        <v>889776211.12658358</v>
      </c>
      <c r="S58" s="51">
        <f t="shared" si="10"/>
        <v>626589583.33333337</v>
      </c>
    </row>
    <row r="59" spans="1:20" x14ac:dyDescent="0.25">
      <c r="A59" s="354" t="s">
        <v>49</v>
      </c>
      <c r="B59"/>
    </row>
    <row r="60" spans="1:20" x14ac:dyDescent="0.25">
      <c r="A60" s="355"/>
      <c r="B60"/>
    </row>
    <row r="61" spans="1:20" x14ac:dyDescent="0.25">
      <c r="A61" s="355"/>
    </row>
    <row r="62" spans="1:20" x14ac:dyDescent="0.25">
      <c r="A62" s="355"/>
    </row>
    <row r="63" spans="1:20" ht="15.75" thickBot="1" x14ac:dyDescent="0.3">
      <c r="A63" s="356"/>
    </row>
  </sheetData>
  <mergeCells count="15">
    <mergeCell ref="A19:A22"/>
    <mergeCell ref="A3:A5"/>
    <mergeCell ref="A6:A8"/>
    <mergeCell ref="A9:A12"/>
    <mergeCell ref="A13:A15"/>
    <mergeCell ref="A16:A18"/>
    <mergeCell ref="A49:A53"/>
    <mergeCell ref="A54:A58"/>
    <mergeCell ref="A59:A63"/>
    <mergeCell ref="A23:A24"/>
    <mergeCell ref="A25:A27"/>
    <mergeCell ref="A28:A32"/>
    <mergeCell ref="A36:A40"/>
    <mergeCell ref="A41:A45"/>
    <mergeCell ref="A46:A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60"/>
  <sheetViews>
    <sheetView zoomScaleNormal="100" workbookViewId="0">
      <selection activeCell="N22" sqref="N22:N31"/>
    </sheetView>
  </sheetViews>
  <sheetFormatPr defaultRowHeight="15" x14ac:dyDescent="0.25"/>
  <cols>
    <col min="1" max="2" width="20" style="2" customWidth="1"/>
    <col min="3" max="3" width="14" style="2" customWidth="1"/>
    <col min="4" max="4" width="16" style="2" customWidth="1"/>
    <col min="5" max="5" width="10.85546875" style="2" customWidth="1"/>
    <col min="6" max="6" width="18.28515625" style="2" customWidth="1"/>
    <col min="7" max="7" width="13.42578125" style="2" customWidth="1"/>
    <col min="8" max="8" width="11.85546875" style="2" customWidth="1"/>
    <col min="9" max="9" width="11.42578125" style="2" customWidth="1"/>
    <col min="10" max="10" width="13.140625" style="2" customWidth="1"/>
    <col min="11" max="11" width="8.85546875" style="2" customWidth="1"/>
    <col min="12" max="12" width="9" style="2" customWidth="1"/>
    <col min="13" max="13" width="9.42578125" style="2" customWidth="1"/>
    <col min="14" max="15" width="9.5703125" style="2" customWidth="1"/>
    <col min="16" max="16" width="12.7109375" style="2" customWidth="1"/>
    <col min="17" max="17" width="12.42578125" style="2" customWidth="1"/>
    <col min="18" max="18" width="10.7109375" style="2" customWidth="1"/>
    <col min="19" max="19" width="11.7109375" style="2" customWidth="1"/>
    <col min="20" max="20" width="11" style="2" customWidth="1"/>
    <col min="21" max="21" width="12.42578125" style="2" customWidth="1"/>
    <col min="22" max="22" width="14.28515625" style="2" customWidth="1"/>
    <col min="23" max="16384" width="9.140625" style="2"/>
  </cols>
  <sheetData>
    <row r="1" spans="1:23" ht="79.5" customHeight="1" thickBot="1" x14ac:dyDescent="0.3">
      <c r="A1" s="3" t="s">
        <v>50</v>
      </c>
      <c r="B1" s="3" t="s">
        <v>52</v>
      </c>
      <c r="C1" s="3" t="s">
        <v>4</v>
      </c>
      <c r="D1" s="74" t="s">
        <v>21</v>
      </c>
      <c r="E1" s="3" t="s">
        <v>24</v>
      </c>
      <c r="F1" s="74" t="s">
        <v>25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</v>
      </c>
      <c r="N1" s="3" t="s">
        <v>9</v>
      </c>
      <c r="O1" s="3" t="s">
        <v>12</v>
      </c>
      <c r="P1" s="3" t="s">
        <v>10</v>
      </c>
      <c r="Q1" s="3" t="s">
        <v>11</v>
      </c>
      <c r="R1" s="3" t="s">
        <v>18</v>
      </c>
      <c r="S1" s="3" t="s">
        <v>15</v>
      </c>
      <c r="T1" s="2" t="s">
        <v>17</v>
      </c>
    </row>
    <row r="2" spans="1:23" ht="15.75" thickBot="1" x14ac:dyDescent="0.3">
      <c r="A2" s="75" t="s">
        <v>0</v>
      </c>
      <c r="B2" s="98">
        <v>1</v>
      </c>
      <c r="C2" s="94" t="s">
        <v>26</v>
      </c>
      <c r="D2" s="73">
        <v>6.8</v>
      </c>
      <c r="E2" s="97">
        <v>3</v>
      </c>
      <c r="F2" s="73">
        <f t="shared" ref="F2:F33" si="0">D2/$W$2*100</f>
        <v>0.54399999999999993</v>
      </c>
      <c r="G2" s="73">
        <f t="shared" ref="G2:G33" si="1">E2*M2</f>
        <v>1170</v>
      </c>
      <c r="H2" s="73">
        <f t="shared" ref="H2:H33" si="2">G2/($W$5*T2*0.001)</f>
        <v>2.3025365506425768E-6</v>
      </c>
      <c r="I2" s="73">
        <f t="shared" ref="I2:I33" si="3">G2/($W$3*N2^2)</f>
        <v>8.9163237311385465E-4</v>
      </c>
      <c r="J2" s="73">
        <f t="shared" ref="J2:J33" si="4">G2/(P2*R2*N2*0.001)</f>
        <v>9.1955242554056849E-2</v>
      </c>
      <c r="K2" s="73">
        <f t="shared" ref="K2:K33" si="5">E2/($W$6*S2*0.001)</f>
        <v>3.4018886399423747E-9</v>
      </c>
      <c r="L2" s="73">
        <f t="shared" ref="L2:L33" si="6">E2/($W$3*N2)</f>
        <v>1.8518518518518518E-4</v>
      </c>
      <c r="M2" s="73">
        <v>390</v>
      </c>
      <c r="N2" s="73">
        <v>81</v>
      </c>
      <c r="O2" s="73">
        <v>105</v>
      </c>
      <c r="P2" s="73">
        <v>251.33</v>
      </c>
      <c r="Q2" s="73">
        <f t="shared" ref="Q2:Q33" si="7">P2/($W$3*N2)*100</f>
        <v>1.5514197530864198</v>
      </c>
      <c r="R2" s="73">
        <v>625</v>
      </c>
      <c r="S2" s="73">
        <f t="shared" ref="S2:S33" si="8">(1/3-0.21*(MIN($W$3,O2)/MAX($W$3,O2))*(MIN($W$3,O2)^4/(12*MAX($W$3,O2)^4)))*MAX($W$3,O2)*MIN($W$3,O2)^3</f>
        <v>77013403.310835585</v>
      </c>
      <c r="T2" s="62">
        <f t="shared" ref="T2:T33" si="9">$W$3*O2^3/12</f>
        <v>19293750</v>
      </c>
      <c r="V2" s="14" t="s">
        <v>22</v>
      </c>
      <c r="W2" s="14">
        <v>1250</v>
      </c>
    </row>
    <row r="3" spans="1:23" ht="15.75" thickBot="1" x14ac:dyDescent="0.3">
      <c r="A3" s="75" t="s">
        <v>0</v>
      </c>
      <c r="B3" s="98">
        <v>2</v>
      </c>
      <c r="C3" s="24">
        <v>2</v>
      </c>
      <c r="D3" s="3">
        <v>3.68</v>
      </c>
      <c r="E3" s="3">
        <v>25.5</v>
      </c>
      <c r="F3" s="3">
        <f t="shared" si="0"/>
        <v>0.2944</v>
      </c>
      <c r="G3" s="3">
        <f t="shared" si="1"/>
        <v>9945</v>
      </c>
      <c r="H3" s="8">
        <f t="shared" si="2"/>
        <v>1.9571560680461904E-5</v>
      </c>
      <c r="I3" s="3">
        <f t="shared" si="3"/>
        <v>7.5788751714677641E-3</v>
      </c>
      <c r="J3" s="8">
        <f t="shared" si="4"/>
        <v>0.78161956170948321</v>
      </c>
      <c r="K3" s="8">
        <f t="shared" si="5"/>
        <v>2.8916053439510185E-8</v>
      </c>
      <c r="L3" s="3">
        <f t="shared" si="6"/>
        <v>1.5740740740740741E-3</v>
      </c>
      <c r="M3" s="3">
        <v>390</v>
      </c>
      <c r="N3" s="3">
        <v>81</v>
      </c>
      <c r="O3" s="3">
        <v>105</v>
      </c>
      <c r="P3" s="3">
        <v>251.33</v>
      </c>
      <c r="Q3" s="3">
        <f t="shared" si="7"/>
        <v>1.5514197530864198</v>
      </c>
      <c r="R3" s="3">
        <v>625</v>
      </c>
      <c r="S3" s="3">
        <f t="shared" si="8"/>
        <v>77013403.310835585</v>
      </c>
      <c r="T3" s="63">
        <f t="shared" si="9"/>
        <v>19293750</v>
      </c>
      <c r="V3" s="14" t="s">
        <v>6</v>
      </c>
      <c r="W3" s="14">
        <v>200</v>
      </c>
    </row>
    <row r="4" spans="1:23" ht="15.75" thickBot="1" x14ac:dyDescent="0.3">
      <c r="A4" s="75" t="s">
        <v>0</v>
      </c>
      <c r="B4" s="98">
        <v>3</v>
      </c>
      <c r="C4" s="30">
        <v>3</v>
      </c>
      <c r="D4" s="17">
        <v>4.68</v>
      </c>
      <c r="E4" s="17">
        <v>26.5</v>
      </c>
      <c r="F4" s="17">
        <f t="shared" si="0"/>
        <v>0.37440000000000001</v>
      </c>
      <c r="G4" s="17">
        <f t="shared" si="1"/>
        <v>10335</v>
      </c>
      <c r="H4" s="21">
        <f t="shared" si="2"/>
        <v>2.0339072864009429E-5</v>
      </c>
      <c r="I4" s="17">
        <f t="shared" si="3"/>
        <v>7.8760859625057154E-3</v>
      </c>
      <c r="J4" s="21">
        <f t="shared" si="4"/>
        <v>0.81227130922750224</v>
      </c>
      <c r="K4" s="21">
        <f t="shared" si="5"/>
        <v>3.0050016319490974E-8</v>
      </c>
      <c r="L4" s="17">
        <f t="shared" si="6"/>
        <v>1.6358024691358025E-3</v>
      </c>
      <c r="M4" s="17">
        <v>390</v>
      </c>
      <c r="N4" s="17">
        <v>81</v>
      </c>
      <c r="O4" s="17">
        <v>105</v>
      </c>
      <c r="P4" s="17">
        <v>251.33</v>
      </c>
      <c r="Q4" s="17">
        <f t="shared" si="7"/>
        <v>1.5514197530864198</v>
      </c>
      <c r="R4" s="17">
        <v>625</v>
      </c>
      <c r="S4" s="17">
        <f t="shared" si="8"/>
        <v>77013403.310835585</v>
      </c>
      <c r="T4" s="64">
        <f t="shared" si="9"/>
        <v>19293750</v>
      </c>
      <c r="V4" s="14" t="s">
        <v>7</v>
      </c>
      <c r="W4" s="14">
        <v>31.4</v>
      </c>
    </row>
    <row r="5" spans="1:23" ht="15.75" thickBot="1" x14ac:dyDescent="0.3">
      <c r="A5" s="76" t="s">
        <v>1</v>
      </c>
      <c r="B5" s="99">
        <v>4</v>
      </c>
      <c r="C5" s="92" t="s">
        <v>27</v>
      </c>
      <c r="D5" s="19">
        <f>D7*1.3</f>
        <v>5.3950000000000005</v>
      </c>
      <c r="E5" s="19">
        <f>0.2*E7</f>
        <v>6.28</v>
      </c>
      <c r="F5" s="8">
        <f t="shared" si="0"/>
        <v>0.43160000000000004</v>
      </c>
      <c r="G5" s="8">
        <f t="shared" si="1"/>
        <v>2449.2000000000003</v>
      </c>
      <c r="H5" s="8">
        <f t="shared" si="2"/>
        <v>4.8199765126784615E-6</v>
      </c>
      <c r="I5" s="8">
        <f t="shared" si="3"/>
        <v>1.8664837677183359E-3</v>
      </c>
      <c r="J5" s="8">
        <f t="shared" si="4"/>
        <v>0.19249297441315905</v>
      </c>
      <c r="K5" s="8">
        <f t="shared" si="5"/>
        <v>7.1212868862793717E-9</v>
      </c>
      <c r="L5" s="8">
        <f t="shared" si="6"/>
        <v>3.8765432098765434E-4</v>
      </c>
      <c r="M5" s="8">
        <v>390</v>
      </c>
      <c r="N5" s="8">
        <v>81</v>
      </c>
      <c r="O5" s="8">
        <v>105</v>
      </c>
      <c r="P5" s="8">
        <v>251.33</v>
      </c>
      <c r="Q5" s="8">
        <f t="shared" si="7"/>
        <v>1.5514197530864198</v>
      </c>
      <c r="R5" s="8">
        <v>625</v>
      </c>
      <c r="S5" s="8">
        <f t="shared" si="8"/>
        <v>77013403.310835585</v>
      </c>
      <c r="T5" s="62">
        <f t="shared" si="9"/>
        <v>19293750</v>
      </c>
      <c r="V5" s="14" t="s">
        <v>8</v>
      </c>
      <c r="W5" s="14">
        <f>4700*SQRT(W4)</f>
        <v>26336.780365109171</v>
      </c>
    </row>
    <row r="6" spans="1:23" ht="15.75" thickBot="1" x14ac:dyDescent="0.3">
      <c r="A6" s="76" t="s">
        <v>1</v>
      </c>
      <c r="B6" s="100">
        <v>5</v>
      </c>
      <c r="C6" s="24">
        <v>2</v>
      </c>
      <c r="D6" s="3">
        <v>3.585</v>
      </c>
      <c r="E6" s="3">
        <v>25</v>
      </c>
      <c r="F6" s="3">
        <f t="shared" si="0"/>
        <v>0.2868</v>
      </c>
      <c r="G6" s="3">
        <f t="shared" si="1"/>
        <v>9750</v>
      </c>
      <c r="H6" s="8">
        <f t="shared" si="2"/>
        <v>1.9187804588688139E-5</v>
      </c>
      <c r="I6" s="3">
        <f t="shared" si="3"/>
        <v>7.4302697759487885E-3</v>
      </c>
      <c r="J6" s="8">
        <f t="shared" si="4"/>
        <v>0.76629368795047381</v>
      </c>
      <c r="K6" s="8">
        <f t="shared" si="5"/>
        <v>2.834907199951979E-8</v>
      </c>
      <c r="L6" s="3">
        <f t="shared" si="6"/>
        <v>1.5432098765432098E-3</v>
      </c>
      <c r="M6" s="3">
        <v>390</v>
      </c>
      <c r="N6" s="3">
        <v>81</v>
      </c>
      <c r="O6" s="3">
        <v>105</v>
      </c>
      <c r="P6" s="3">
        <v>251.33</v>
      </c>
      <c r="Q6" s="3">
        <f t="shared" si="7"/>
        <v>1.5514197530864198</v>
      </c>
      <c r="R6" s="3">
        <v>625</v>
      </c>
      <c r="S6" s="3">
        <f t="shared" si="8"/>
        <v>77013403.310835585</v>
      </c>
      <c r="T6" s="63">
        <f t="shared" si="9"/>
        <v>19293750</v>
      </c>
      <c r="V6" s="14" t="s">
        <v>16</v>
      </c>
      <c r="W6" s="14">
        <f>W5/(2*(1+0.15))</f>
        <v>11450.774071786596</v>
      </c>
    </row>
    <row r="7" spans="1:23" ht="15.75" thickBot="1" x14ac:dyDescent="0.3">
      <c r="A7" s="76" t="s">
        <v>1</v>
      </c>
      <c r="B7" s="100">
        <v>6</v>
      </c>
      <c r="C7" s="25">
        <v>3</v>
      </c>
      <c r="D7" s="11">
        <v>4.1500000000000004</v>
      </c>
      <c r="E7" s="11">
        <v>31.4</v>
      </c>
      <c r="F7" s="11">
        <f t="shared" si="0"/>
        <v>0.33200000000000007</v>
      </c>
      <c r="G7" s="11">
        <f t="shared" si="1"/>
        <v>12246</v>
      </c>
      <c r="H7" s="4">
        <f t="shared" si="2"/>
        <v>2.4099882563392303E-5</v>
      </c>
      <c r="I7" s="11">
        <f t="shared" si="3"/>
        <v>9.3324188385916773E-3</v>
      </c>
      <c r="J7" s="4">
        <f t="shared" si="4"/>
        <v>0.96246487206579512</v>
      </c>
      <c r="K7" s="4">
        <f t="shared" si="5"/>
        <v>3.5606434431396852E-8</v>
      </c>
      <c r="L7" s="11">
        <f t="shared" si="6"/>
        <v>1.9382716049382714E-3</v>
      </c>
      <c r="M7" s="11">
        <v>390</v>
      </c>
      <c r="N7" s="11">
        <v>81</v>
      </c>
      <c r="O7" s="11">
        <v>105</v>
      </c>
      <c r="P7" s="11">
        <v>251.33</v>
      </c>
      <c r="Q7" s="11">
        <f t="shared" si="7"/>
        <v>1.5514197530864198</v>
      </c>
      <c r="R7" s="11">
        <v>625</v>
      </c>
      <c r="S7" s="11">
        <f t="shared" si="8"/>
        <v>77013403.310835585</v>
      </c>
      <c r="T7" s="65">
        <f t="shared" si="9"/>
        <v>19293750</v>
      </c>
    </row>
    <row r="8" spans="1:23" ht="15.75" thickBot="1" x14ac:dyDescent="0.3">
      <c r="A8" s="77" t="s">
        <v>2</v>
      </c>
      <c r="B8" s="77">
        <v>7</v>
      </c>
      <c r="C8" s="92" t="s">
        <v>28</v>
      </c>
      <c r="D8" s="19">
        <f>D5</f>
        <v>5.3950000000000005</v>
      </c>
      <c r="E8" s="19">
        <f>0.2*E7</f>
        <v>6.28</v>
      </c>
      <c r="F8" s="8">
        <f t="shared" si="0"/>
        <v>0.43160000000000004</v>
      </c>
      <c r="G8" s="8">
        <f t="shared" si="1"/>
        <v>2449.2000000000003</v>
      </c>
      <c r="H8" s="8">
        <f t="shared" si="2"/>
        <v>4.8199765126784615E-6</v>
      </c>
      <c r="I8" s="8">
        <f t="shared" si="3"/>
        <v>1.8664837677183359E-3</v>
      </c>
      <c r="J8" s="8">
        <f t="shared" si="4"/>
        <v>0.19249297441315905</v>
      </c>
      <c r="K8" s="8">
        <f t="shared" si="5"/>
        <v>7.1212868862793717E-9</v>
      </c>
      <c r="L8" s="8">
        <f t="shared" si="6"/>
        <v>3.8765432098765434E-4</v>
      </c>
      <c r="M8" s="8">
        <v>390</v>
      </c>
      <c r="N8" s="8">
        <v>81</v>
      </c>
      <c r="O8" s="8">
        <v>105</v>
      </c>
      <c r="P8" s="8">
        <v>251.33</v>
      </c>
      <c r="Q8" s="8">
        <f t="shared" si="7"/>
        <v>1.5514197530864198</v>
      </c>
      <c r="R8" s="8">
        <v>625</v>
      </c>
      <c r="S8" s="8">
        <f t="shared" si="8"/>
        <v>77013403.310835585</v>
      </c>
      <c r="T8" s="62">
        <f t="shared" si="9"/>
        <v>19293750</v>
      </c>
    </row>
    <row r="9" spans="1:23" ht="15.75" thickBot="1" x14ac:dyDescent="0.3">
      <c r="A9" s="77" t="s">
        <v>2</v>
      </c>
      <c r="B9" s="77">
        <v>8</v>
      </c>
      <c r="C9" s="24">
        <v>3</v>
      </c>
      <c r="D9" s="13">
        <f>Table11[[#This Row],[V (KN)]]/E6*D6</f>
        <v>3.2265000000000001</v>
      </c>
      <c r="E9" s="3">
        <v>22.5</v>
      </c>
      <c r="F9" s="3">
        <f t="shared" si="0"/>
        <v>0.25812000000000002</v>
      </c>
      <c r="G9" s="3">
        <f t="shared" si="1"/>
        <v>8775</v>
      </c>
      <c r="H9" s="8">
        <f t="shared" si="2"/>
        <v>1.7269024129819325E-5</v>
      </c>
      <c r="I9" s="3">
        <f t="shared" si="3"/>
        <v>6.6872427983539094E-3</v>
      </c>
      <c r="J9" s="8">
        <f t="shared" si="4"/>
        <v>0.68966431915542636</v>
      </c>
      <c r="K9" s="8">
        <f t="shared" si="5"/>
        <v>2.551416479956781E-8</v>
      </c>
      <c r="L9" s="3">
        <f t="shared" si="6"/>
        <v>1.3888888888888889E-3</v>
      </c>
      <c r="M9" s="3">
        <v>390</v>
      </c>
      <c r="N9" s="3">
        <v>81</v>
      </c>
      <c r="O9" s="3">
        <v>105</v>
      </c>
      <c r="P9" s="3">
        <v>251.33</v>
      </c>
      <c r="Q9" s="3">
        <f t="shared" si="7"/>
        <v>1.5514197530864198</v>
      </c>
      <c r="R9" s="3">
        <v>625</v>
      </c>
      <c r="S9" s="3">
        <f t="shared" si="8"/>
        <v>77013403.310835585</v>
      </c>
      <c r="T9" s="63">
        <f t="shared" si="9"/>
        <v>19293750</v>
      </c>
    </row>
    <row r="10" spans="1:23" ht="15.75" thickBot="1" x14ac:dyDescent="0.3">
      <c r="A10" s="77" t="s">
        <v>2</v>
      </c>
      <c r="B10" s="77">
        <v>9</v>
      </c>
      <c r="C10" s="24">
        <v>4</v>
      </c>
      <c r="D10" s="13">
        <f>Table11[[#This Row],[V (KN)]]/E7*D7</f>
        <v>3.3702229299363062</v>
      </c>
      <c r="E10" s="3">
        <v>25.5</v>
      </c>
      <c r="F10" s="3">
        <f t="shared" si="0"/>
        <v>0.2696178343949045</v>
      </c>
      <c r="G10" s="3">
        <f t="shared" si="1"/>
        <v>9945</v>
      </c>
      <c r="H10" s="8">
        <f t="shared" si="2"/>
        <v>1.9571560680461904E-5</v>
      </c>
      <c r="I10" s="3">
        <f t="shared" si="3"/>
        <v>7.5788751714677641E-3</v>
      </c>
      <c r="J10" s="8">
        <f t="shared" si="4"/>
        <v>0.78161956170948321</v>
      </c>
      <c r="K10" s="8">
        <f t="shared" si="5"/>
        <v>2.8916053439510185E-8</v>
      </c>
      <c r="L10" s="3">
        <f t="shared" si="6"/>
        <v>1.5740740740740741E-3</v>
      </c>
      <c r="M10" s="3">
        <v>390</v>
      </c>
      <c r="N10" s="3">
        <v>81</v>
      </c>
      <c r="O10" s="3">
        <v>105</v>
      </c>
      <c r="P10" s="3">
        <v>251.33</v>
      </c>
      <c r="Q10" s="3">
        <f t="shared" si="7"/>
        <v>1.5514197530864198</v>
      </c>
      <c r="R10" s="3">
        <v>625</v>
      </c>
      <c r="S10" s="3">
        <f t="shared" si="8"/>
        <v>77013403.310835585</v>
      </c>
      <c r="T10" s="63">
        <f t="shared" si="9"/>
        <v>19293750</v>
      </c>
      <c r="V10" s="2" t="s">
        <v>51</v>
      </c>
    </row>
    <row r="11" spans="1:23" ht="15.75" thickBot="1" x14ac:dyDescent="0.3">
      <c r="A11" s="77" t="s">
        <v>2</v>
      </c>
      <c r="B11" s="77">
        <v>10</v>
      </c>
      <c r="C11" s="25">
        <v>2</v>
      </c>
      <c r="D11" s="20">
        <f>Table11[[#This Row],[V (KN)]]/E6*D6</f>
        <v>2.5811999999999999</v>
      </c>
      <c r="E11" s="20">
        <f>0.8*E13</f>
        <v>18</v>
      </c>
      <c r="F11" s="11">
        <f t="shared" si="0"/>
        <v>0.20649599999999999</v>
      </c>
      <c r="G11" s="11">
        <f t="shared" si="1"/>
        <v>7020</v>
      </c>
      <c r="H11" s="4">
        <f t="shared" si="2"/>
        <v>1.3815219303855461E-5</v>
      </c>
      <c r="I11" s="11">
        <f t="shared" si="3"/>
        <v>5.3497942386831277E-3</v>
      </c>
      <c r="J11" s="4">
        <f t="shared" si="4"/>
        <v>0.55173145532434109</v>
      </c>
      <c r="K11" s="4">
        <f t="shared" si="5"/>
        <v>2.0411331839654248E-8</v>
      </c>
      <c r="L11" s="11">
        <f t="shared" si="6"/>
        <v>1.1111111111111111E-3</v>
      </c>
      <c r="M11" s="11">
        <v>390</v>
      </c>
      <c r="N11" s="11">
        <v>81</v>
      </c>
      <c r="O11" s="11">
        <v>105</v>
      </c>
      <c r="P11" s="11">
        <v>251.33</v>
      </c>
      <c r="Q11" s="11">
        <f t="shared" si="7"/>
        <v>1.5514197530864198</v>
      </c>
      <c r="R11" s="11">
        <v>625</v>
      </c>
      <c r="S11" s="11">
        <f t="shared" si="8"/>
        <v>77013403.310835585</v>
      </c>
      <c r="T11" s="65">
        <f t="shared" si="9"/>
        <v>19293750</v>
      </c>
    </row>
    <row r="12" spans="1:23" ht="15.75" thickBot="1" x14ac:dyDescent="0.3">
      <c r="A12" s="78" t="s">
        <v>30</v>
      </c>
      <c r="B12" s="78">
        <v>11</v>
      </c>
      <c r="C12" s="92" t="s">
        <v>29</v>
      </c>
      <c r="D12" s="19">
        <f>1.2*D14</f>
        <v>10.835999999999999</v>
      </c>
      <c r="E12" s="19">
        <f>0.2*E11</f>
        <v>3.6</v>
      </c>
      <c r="F12" s="8">
        <f t="shared" si="0"/>
        <v>0.86687999999999987</v>
      </c>
      <c r="G12" s="8">
        <f t="shared" si="1"/>
        <v>1404</v>
      </c>
      <c r="H12" s="8">
        <f t="shared" si="2"/>
        <v>1.4227932273760876E-6</v>
      </c>
      <c r="I12" s="8">
        <f t="shared" si="3"/>
        <v>6.2477750088999644E-4</v>
      </c>
      <c r="J12" s="8">
        <f t="shared" si="4"/>
        <v>6.3562410238875558E-2</v>
      </c>
      <c r="K12" s="8">
        <f t="shared" si="5"/>
        <v>2.1110698693902933E-9</v>
      </c>
      <c r="L12" s="8">
        <f t="shared" si="6"/>
        <v>1.6981132075471699E-4</v>
      </c>
      <c r="M12" s="8">
        <v>390</v>
      </c>
      <c r="N12" s="8">
        <v>106</v>
      </c>
      <c r="O12" s="8">
        <v>131</v>
      </c>
      <c r="P12" s="8">
        <v>314.16000000000003</v>
      </c>
      <c r="Q12" s="8">
        <f t="shared" si="7"/>
        <v>1.4818867924528303</v>
      </c>
      <c r="R12" s="8">
        <v>663.3</v>
      </c>
      <c r="S12" s="8">
        <f t="shared" si="8"/>
        <v>148924121.73289105</v>
      </c>
      <c r="T12" s="62">
        <f t="shared" si="9"/>
        <v>37468183.333333336</v>
      </c>
    </row>
    <row r="13" spans="1:23" ht="15.75" thickBot="1" x14ac:dyDescent="0.3">
      <c r="A13" s="78" t="s">
        <v>30</v>
      </c>
      <c r="B13" s="78">
        <v>12</v>
      </c>
      <c r="C13" s="27">
        <v>2</v>
      </c>
      <c r="D13" s="3">
        <v>6.49</v>
      </c>
      <c r="E13" s="3">
        <v>22.5</v>
      </c>
      <c r="F13" s="3">
        <f t="shared" si="0"/>
        <v>0.51919999999999999</v>
      </c>
      <c r="G13" s="3">
        <f t="shared" si="1"/>
        <v>8775</v>
      </c>
      <c r="H13" s="8">
        <f t="shared" si="2"/>
        <v>8.8924576711005473E-6</v>
      </c>
      <c r="I13" s="3">
        <f t="shared" si="3"/>
        <v>3.9048593805624779E-3</v>
      </c>
      <c r="J13" s="8">
        <f t="shared" si="4"/>
        <v>0.39726506399297223</v>
      </c>
      <c r="K13" s="8">
        <f t="shared" si="5"/>
        <v>1.3194186683689334E-8</v>
      </c>
      <c r="L13" s="3">
        <f t="shared" si="6"/>
        <v>1.0613207547169811E-3</v>
      </c>
      <c r="M13" s="3">
        <v>390</v>
      </c>
      <c r="N13" s="3">
        <v>106</v>
      </c>
      <c r="O13" s="3">
        <v>131</v>
      </c>
      <c r="P13" s="3">
        <v>314.16000000000003</v>
      </c>
      <c r="Q13" s="3">
        <f t="shared" si="7"/>
        <v>1.4818867924528303</v>
      </c>
      <c r="R13" s="3">
        <v>663.3</v>
      </c>
      <c r="S13" s="3">
        <f t="shared" si="8"/>
        <v>148924121.73289105</v>
      </c>
      <c r="T13" s="63">
        <f t="shared" si="9"/>
        <v>37468183.333333336</v>
      </c>
    </row>
    <row r="14" spans="1:23" ht="15.75" thickBot="1" x14ac:dyDescent="0.3">
      <c r="A14" s="78" t="s">
        <v>30</v>
      </c>
      <c r="B14" s="78">
        <v>13</v>
      </c>
      <c r="C14" s="95">
        <v>3</v>
      </c>
      <c r="D14" s="11">
        <v>9.0299999999999994</v>
      </c>
      <c r="E14" s="11">
        <v>33.79</v>
      </c>
      <c r="F14" s="11">
        <f t="shared" si="0"/>
        <v>0.72239999999999993</v>
      </c>
      <c r="G14" s="11">
        <f t="shared" si="1"/>
        <v>13178.1</v>
      </c>
      <c r="H14" s="4">
        <f t="shared" si="2"/>
        <v>1.3354495320288333E-5</v>
      </c>
      <c r="I14" s="11">
        <f t="shared" si="3"/>
        <v>5.8642310430758278E-3</v>
      </c>
      <c r="J14" s="4">
        <f t="shared" si="4"/>
        <v>0.5966038449921125</v>
      </c>
      <c r="K14" s="4">
        <f t="shared" si="5"/>
        <v>1.9814736357416114E-8</v>
      </c>
      <c r="L14" s="11">
        <f t="shared" si="6"/>
        <v>1.5938679245283019E-3</v>
      </c>
      <c r="M14" s="11">
        <v>390</v>
      </c>
      <c r="N14" s="11">
        <v>106</v>
      </c>
      <c r="O14" s="11">
        <v>131</v>
      </c>
      <c r="P14" s="11">
        <v>314.16000000000003</v>
      </c>
      <c r="Q14" s="11">
        <f t="shared" si="7"/>
        <v>1.4818867924528303</v>
      </c>
      <c r="R14" s="11">
        <v>663.3</v>
      </c>
      <c r="S14" s="11">
        <f t="shared" si="8"/>
        <v>148924121.73289105</v>
      </c>
      <c r="T14" s="65">
        <f t="shared" si="9"/>
        <v>37468183.333333336</v>
      </c>
    </row>
    <row r="15" spans="1:23" ht="15.75" thickBot="1" x14ac:dyDescent="0.3">
      <c r="A15" s="79" t="s">
        <v>31</v>
      </c>
      <c r="B15" s="79">
        <v>14</v>
      </c>
      <c r="C15" s="23">
        <v>2</v>
      </c>
      <c r="D15" s="8">
        <v>6.06</v>
      </c>
      <c r="E15" s="8">
        <v>27.5</v>
      </c>
      <c r="F15" s="8">
        <f t="shared" si="0"/>
        <v>0.48480000000000001</v>
      </c>
      <c r="G15" s="8">
        <f t="shared" si="1"/>
        <v>10725</v>
      </c>
      <c r="H15" s="8">
        <f t="shared" si="2"/>
        <v>1.0868559375789558E-5</v>
      </c>
      <c r="I15" s="8">
        <f t="shared" si="3"/>
        <v>4.7726059095763614E-3</v>
      </c>
      <c r="J15" s="8">
        <f t="shared" si="4"/>
        <v>0.48554618932474386</v>
      </c>
      <c r="K15" s="8">
        <f t="shared" si="5"/>
        <v>1.612622816895363E-8</v>
      </c>
      <c r="L15" s="8">
        <f t="shared" si="6"/>
        <v>1.2971698113207546E-3</v>
      </c>
      <c r="M15" s="8">
        <v>390</v>
      </c>
      <c r="N15" s="8">
        <v>106</v>
      </c>
      <c r="O15" s="8">
        <v>131</v>
      </c>
      <c r="P15" s="8">
        <v>314.16000000000003</v>
      </c>
      <c r="Q15" s="8">
        <f t="shared" si="7"/>
        <v>1.4818867924528303</v>
      </c>
      <c r="R15" s="8">
        <v>663.3</v>
      </c>
      <c r="S15" s="8">
        <f t="shared" si="8"/>
        <v>148924121.73289105</v>
      </c>
      <c r="T15" s="62">
        <f t="shared" si="9"/>
        <v>37468183.333333336</v>
      </c>
    </row>
    <row r="16" spans="1:23" ht="15.75" thickBot="1" x14ac:dyDescent="0.3">
      <c r="A16" s="79" t="s">
        <v>31</v>
      </c>
      <c r="B16" s="79">
        <v>15</v>
      </c>
      <c r="C16" s="24">
        <v>4</v>
      </c>
      <c r="D16" s="13">
        <v>6.19</v>
      </c>
      <c r="E16" s="13">
        <v>28.5</v>
      </c>
      <c r="F16" s="3">
        <f t="shared" si="0"/>
        <v>0.49520000000000008</v>
      </c>
      <c r="G16" s="3">
        <f t="shared" si="1"/>
        <v>11115</v>
      </c>
      <c r="H16" s="8">
        <f t="shared" si="2"/>
        <v>1.1263779716727358E-5</v>
      </c>
      <c r="I16" s="3">
        <f t="shared" si="3"/>
        <v>4.9461552153791388E-3</v>
      </c>
      <c r="J16" s="8">
        <f t="shared" si="4"/>
        <v>0.50320241439109814</v>
      </c>
      <c r="K16" s="8">
        <f t="shared" si="5"/>
        <v>1.671263646600649E-8</v>
      </c>
      <c r="L16" s="3">
        <f t="shared" si="6"/>
        <v>1.3443396226415095E-3</v>
      </c>
      <c r="M16" s="3">
        <v>390</v>
      </c>
      <c r="N16" s="3">
        <v>106</v>
      </c>
      <c r="O16" s="3">
        <v>131</v>
      </c>
      <c r="P16" s="3">
        <v>314.16000000000003</v>
      </c>
      <c r="Q16" s="3">
        <f t="shared" si="7"/>
        <v>1.4818867924528303</v>
      </c>
      <c r="R16" s="3">
        <v>663.3</v>
      </c>
      <c r="S16" s="3">
        <f t="shared" si="8"/>
        <v>148924121.73289105</v>
      </c>
      <c r="T16" s="63">
        <f t="shared" si="9"/>
        <v>37468183.333333336</v>
      </c>
    </row>
    <row r="17" spans="1:22" ht="15.75" thickBot="1" x14ac:dyDescent="0.3">
      <c r="A17" s="79" t="s">
        <v>31</v>
      </c>
      <c r="B17" s="79">
        <v>16</v>
      </c>
      <c r="C17" s="30">
        <v>5</v>
      </c>
      <c r="D17" s="17">
        <v>7.41</v>
      </c>
      <c r="E17" s="17">
        <v>34</v>
      </c>
      <c r="F17" s="17">
        <f t="shared" si="0"/>
        <v>0.59279999999999999</v>
      </c>
      <c r="G17" s="17">
        <f t="shared" si="1"/>
        <v>13260</v>
      </c>
      <c r="H17" s="21">
        <f t="shared" si="2"/>
        <v>1.343749159188527E-5</v>
      </c>
      <c r="I17" s="17">
        <f t="shared" si="3"/>
        <v>5.9006763972944106E-3</v>
      </c>
      <c r="J17" s="21">
        <f t="shared" si="4"/>
        <v>0.60031165225604688</v>
      </c>
      <c r="K17" s="21">
        <f t="shared" si="5"/>
        <v>1.9937882099797215E-8</v>
      </c>
      <c r="L17" s="17">
        <f t="shared" si="6"/>
        <v>1.6037735849056603E-3</v>
      </c>
      <c r="M17" s="17">
        <v>390</v>
      </c>
      <c r="N17" s="17">
        <v>106</v>
      </c>
      <c r="O17" s="17">
        <v>131</v>
      </c>
      <c r="P17" s="17">
        <v>314.16000000000003</v>
      </c>
      <c r="Q17" s="17">
        <f t="shared" si="7"/>
        <v>1.4818867924528303</v>
      </c>
      <c r="R17" s="17">
        <v>663.3</v>
      </c>
      <c r="S17" s="17">
        <f t="shared" si="8"/>
        <v>148924121.73289105</v>
      </c>
      <c r="T17" s="64">
        <f t="shared" si="9"/>
        <v>37468183.333333336</v>
      </c>
    </row>
    <row r="18" spans="1:22" ht="15.75" thickBot="1" x14ac:dyDescent="0.3">
      <c r="A18" s="80" t="s">
        <v>32</v>
      </c>
      <c r="B18" s="80">
        <v>17</v>
      </c>
      <c r="C18" s="96" t="s">
        <v>33</v>
      </c>
      <c r="D18" s="8">
        <v>9.9</v>
      </c>
      <c r="E18" s="8">
        <v>6</v>
      </c>
      <c r="F18" s="8">
        <f t="shared" si="0"/>
        <v>0.79200000000000004</v>
      </c>
      <c r="G18" s="8">
        <f t="shared" si="1"/>
        <v>2340</v>
      </c>
      <c r="H18" s="8">
        <f t="shared" si="2"/>
        <v>2.3713220456268123E-6</v>
      </c>
      <c r="I18" s="8">
        <f t="shared" si="3"/>
        <v>1.0412958348166607E-3</v>
      </c>
      <c r="J18" s="8">
        <f t="shared" si="4"/>
        <v>0.10593735039812593</v>
      </c>
      <c r="K18" s="8">
        <f t="shared" si="5"/>
        <v>3.5184497823171557E-9</v>
      </c>
      <c r="L18" s="8">
        <f t="shared" si="6"/>
        <v>2.8301886792452831E-4</v>
      </c>
      <c r="M18" s="8">
        <v>390</v>
      </c>
      <c r="N18" s="8">
        <v>106</v>
      </c>
      <c r="O18" s="8">
        <v>131</v>
      </c>
      <c r="P18" s="8">
        <v>314.16000000000003</v>
      </c>
      <c r="Q18" s="8">
        <f t="shared" si="7"/>
        <v>1.4818867924528303</v>
      </c>
      <c r="R18" s="8">
        <v>663.3</v>
      </c>
      <c r="S18" s="4">
        <f t="shared" si="8"/>
        <v>148924121.73289105</v>
      </c>
      <c r="T18" s="66">
        <f t="shared" si="9"/>
        <v>37468183.333333336</v>
      </c>
    </row>
    <row r="19" spans="1:22" ht="15.75" thickBot="1" x14ac:dyDescent="0.3">
      <c r="A19" s="80" t="s">
        <v>32</v>
      </c>
      <c r="B19" s="80">
        <v>18</v>
      </c>
      <c r="C19" s="3">
        <v>2</v>
      </c>
      <c r="D19" s="3">
        <v>5.8</v>
      </c>
      <c r="E19" s="3">
        <f>47/2</f>
        <v>23.5</v>
      </c>
      <c r="F19" s="3">
        <f t="shared" si="0"/>
        <v>0.46400000000000002</v>
      </c>
      <c r="G19" s="3">
        <f t="shared" si="1"/>
        <v>9165</v>
      </c>
      <c r="H19" s="3">
        <f t="shared" si="2"/>
        <v>9.287678012038348E-6</v>
      </c>
      <c r="I19" s="3">
        <f t="shared" si="3"/>
        <v>4.0784086863652549E-3</v>
      </c>
      <c r="J19" s="3">
        <f t="shared" si="4"/>
        <v>0.41492128905932657</v>
      </c>
      <c r="K19" s="3">
        <f t="shared" si="5"/>
        <v>1.3780594980742192E-8</v>
      </c>
      <c r="L19" s="3">
        <f t="shared" si="6"/>
        <v>1.1084905660377359E-3</v>
      </c>
      <c r="M19" s="3">
        <v>390</v>
      </c>
      <c r="N19" s="3">
        <v>106</v>
      </c>
      <c r="O19" s="3">
        <v>131</v>
      </c>
      <c r="P19" s="3">
        <v>314.16000000000003</v>
      </c>
      <c r="Q19" s="3">
        <f t="shared" si="7"/>
        <v>1.4818867924528303</v>
      </c>
      <c r="R19" s="3">
        <v>663.3</v>
      </c>
      <c r="S19" s="11">
        <f t="shared" si="8"/>
        <v>148924121.73289105</v>
      </c>
      <c r="T19" s="65">
        <f t="shared" si="9"/>
        <v>37468183.333333336</v>
      </c>
      <c r="V19"/>
    </row>
    <row r="20" spans="1:22" ht="15.75" thickBot="1" x14ac:dyDescent="0.3">
      <c r="A20" s="80" t="s">
        <v>32</v>
      </c>
      <c r="B20" s="80">
        <v>19</v>
      </c>
      <c r="C20" s="3">
        <v>3</v>
      </c>
      <c r="D20" s="3">
        <v>7.9</v>
      </c>
      <c r="E20" s="3">
        <f>66/2</f>
        <v>33</v>
      </c>
      <c r="F20" s="3">
        <f t="shared" si="0"/>
        <v>0.63200000000000001</v>
      </c>
      <c r="G20" s="3">
        <f t="shared" si="1"/>
        <v>12870</v>
      </c>
      <c r="H20" s="3">
        <f t="shared" si="2"/>
        <v>1.3042271250947469E-5</v>
      </c>
      <c r="I20" s="3">
        <f t="shared" si="3"/>
        <v>5.727127091491634E-3</v>
      </c>
      <c r="J20" s="3">
        <f t="shared" si="4"/>
        <v>0.58265542718969265</v>
      </c>
      <c r="K20" s="3">
        <f t="shared" si="5"/>
        <v>1.9351473802744355E-8</v>
      </c>
      <c r="L20" s="3">
        <f t="shared" si="6"/>
        <v>1.5566037735849057E-3</v>
      </c>
      <c r="M20" s="3">
        <v>390</v>
      </c>
      <c r="N20" s="3">
        <v>106</v>
      </c>
      <c r="O20" s="3">
        <v>131</v>
      </c>
      <c r="P20" s="3">
        <v>314.16000000000003</v>
      </c>
      <c r="Q20" s="3">
        <f t="shared" si="7"/>
        <v>1.4818867924528303</v>
      </c>
      <c r="R20" s="11">
        <v>663.3</v>
      </c>
      <c r="S20" s="11">
        <f t="shared" si="8"/>
        <v>148924121.73289105</v>
      </c>
      <c r="T20" s="65">
        <f t="shared" si="9"/>
        <v>37468183.333333336</v>
      </c>
      <c r="V20"/>
    </row>
    <row r="21" spans="1:22" ht="15.75" thickBot="1" x14ac:dyDescent="0.3">
      <c r="A21" s="80" t="s">
        <v>32</v>
      </c>
      <c r="B21" s="80">
        <v>20</v>
      </c>
      <c r="C21" s="11">
        <v>4</v>
      </c>
      <c r="D21" s="11">
        <v>8.44</v>
      </c>
      <c r="E21" s="11">
        <f>71/2</f>
        <v>35.5</v>
      </c>
      <c r="F21" s="11">
        <f t="shared" si="0"/>
        <v>0.67519999999999991</v>
      </c>
      <c r="G21" s="11">
        <f t="shared" si="1"/>
        <v>13845</v>
      </c>
      <c r="H21" s="11">
        <f t="shared" si="2"/>
        <v>1.4030322103291974E-5</v>
      </c>
      <c r="I21" s="11">
        <f t="shared" si="3"/>
        <v>6.1610003559985759E-3</v>
      </c>
      <c r="J21" s="11">
        <f t="shared" si="4"/>
        <v>0.62679598985557838</v>
      </c>
      <c r="K21" s="11">
        <f t="shared" si="5"/>
        <v>2.0817494545376505E-8</v>
      </c>
      <c r="L21" s="11">
        <f t="shared" si="6"/>
        <v>1.6745283018867925E-3</v>
      </c>
      <c r="M21" s="11">
        <v>390</v>
      </c>
      <c r="N21" s="11">
        <v>106</v>
      </c>
      <c r="O21" s="11">
        <v>131</v>
      </c>
      <c r="P21" s="11">
        <v>314.16000000000003</v>
      </c>
      <c r="Q21" s="11">
        <f t="shared" si="7"/>
        <v>1.4818867924528303</v>
      </c>
      <c r="R21" s="11">
        <v>663.3</v>
      </c>
      <c r="S21" s="11">
        <f t="shared" si="8"/>
        <v>148924121.73289105</v>
      </c>
      <c r="T21" s="65">
        <f t="shared" si="9"/>
        <v>37468183.333333336</v>
      </c>
      <c r="V21"/>
    </row>
    <row r="22" spans="1:22" ht="15.75" thickBot="1" x14ac:dyDescent="0.3">
      <c r="A22" s="81" t="s">
        <v>35</v>
      </c>
      <c r="B22" s="81">
        <v>21</v>
      </c>
      <c r="C22" s="96" t="s">
        <v>34</v>
      </c>
      <c r="D22" s="8">
        <v>6.8</v>
      </c>
      <c r="E22" s="8">
        <f>31.76/2</f>
        <v>15.88</v>
      </c>
      <c r="F22" s="8">
        <f t="shared" si="0"/>
        <v>0.54399999999999993</v>
      </c>
      <c r="G22" s="8">
        <f t="shared" si="1"/>
        <v>6193.2000000000007</v>
      </c>
      <c r="H22" s="8">
        <f t="shared" si="2"/>
        <v>3.1986898289095867E-6</v>
      </c>
      <c r="I22" s="8">
        <f t="shared" si="3"/>
        <v>1.6027120749443613E-3</v>
      </c>
      <c r="J22" s="8">
        <f t="shared" si="4"/>
        <v>0.17105249225722538</v>
      </c>
      <c r="K22" s="8">
        <f t="shared" si="5"/>
        <v>4.8096309512410517E-9</v>
      </c>
      <c r="L22" s="8">
        <f t="shared" si="6"/>
        <v>5.712230215827338E-4</v>
      </c>
      <c r="M22" s="8">
        <v>390</v>
      </c>
      <c r="N22" s="8">
        <v>139</v>
      </c>
      <c r="O22" s="8">
        <v>164</v>
      </c>
      <c r="P22" s="8">
        <v>392.7</v>
      </c>
      <c r="Q22" s="8">
        <f t="shared" si="7"/>
        <v>1.412589928057554</v>
      </c>
      <c r="R22" s="8">
        <v>663.3</v>
      </c>
      <c r="S22" s="8">
        <f t="shared" si="8"/>
        <v>288339338.92909938</v>
      </c>
      <c r="T22" s="62">
        <f t="shared" si="9"/>
        <v>73515733.333333328</v>
      </c>
      <c r="V22"/>
    </row>
    <row r="23" spans="1:22" ht="15.75" thickBot="1" x14ac:dyDescent="0.3">
      <c r="A23" s="81" t="s">
        <v>35</v>
      </c>
      <c r="B23" s="81">
        <v>22</v>
      </c>
      <c r="C23" s="17">
        <v>1</v>
      </c>
      <c r="D23" s="17">
        <v>6.5</v>
      </c>
      <c r="E23" s="17">
        <v>41.4</v>
      </c>
      <c r="F23" s="17">
        <f t="shared" si="0"/>
        <v>0.52</v>
      </c>
      <c r="G23" s="17">
        <f t="shared" si="1"/>
        <v>16146</v>
      </c>
      <c r="H23" s="17">
        <f t="shared" si="2"/>
        <v>8.3391535841849419E-6</v>
      </c>
      <c r="I23" s="17">
        <f t="shared" si="3"/>
        <v>4.1783551576005384E-3</v>
      </c>
      <c r="J23" s="17">
        <f t="shared" si="4"/>
        <v>0.44594289543130539</v>
      </c>
      <c r="K23" s="17">
        <f t="shared" si="5"/>
        <v>1.253896230361332E-8</v>
      </c>
      <c r="L23" s="17">
        <f t="shared" si="6"/>
        <v>1.4892086330935252E-3</v>
      </c>
      <c r="M23" s="17">
        <v>390</v>
      </c>
      <c r="N23" s="17">
        <v>139</v>
      </c>
      <c r="O23" s="17">
        <v>164</v>
      </c>
      <c r="P23" s="17">
        <v>392.7</v>
      </c>
      <c r="Q23" s="17">
        <f t="shared" si="7"/>
        <v>1.412589928057554</v>
      </c>
      <c r="R23" s="17">
        <v>663.3</v>
      </c>
      <c r="S23" s="17">
        <f t="shared" si="8"/>
        <v>288339338.92909938</v>
      </c>
      <c r="T23" s="64">
        <f t="shared" si="9"/>
        <v>73515733.333333328</v>
      </c>
    </row>
    <row r="24" spans="1:22" ht="15.75" thickBot="1" x14ac:dyDescent="0.3">
      <c r="A24" s="82" t="s">
        <v>36</v>
      </c>
      <c r="B24" s="82">
        <v>23</v>
      </c>
      <c r="C24" s="6">
        <v>2</v>
      </c>
      <c r="D24" s="8">
        <v>4.1500000000000004</v>
      </c>
      <c r="E24" s="8">
        <f>46/2</f>
        <v>23</v>
      </c>
      <c r="F24" s="8">
        <f t="shared" si="0"/>
        <v>0.33200000000000007</v>
      </c>
      <c r="G24" s="8">
        <f t="shared" si="1"/>
        <v>8970</v>
      </c>
      <c r="H24" s="8">
        <f t="shared" si="2"/>
        <v>4.6328631023249671E-6</v>
      </c>
      <c r="I24" s="8">
        <f t="shared" si="3"/>
        <v>2.3213084208891879E-3</v>
      </c>
      <c r="J24" s="8">
        <f t="shared" si="4"/>
        <v>0.24774605301739189</v>
      </c>
      <c r="K24" s="8">
        <f t="shared" si="5"/>
        <v>6.9660901686740671E-9</v>
      </c>
      <c r="L24" s="8">
        <f t="shared" si="6"/>
        <v>8.2733812949640291E-4</v>
      </c>
      <c r="M24" s="8">
        <v>390</v>
      </c>
      <c r="N24" s="8">
        <v>139</v>
      </c>
      <c r="O24" s="8">
        <v>164</v>
      </c>
      <c r="P24" s="8">
        <v>392.7</v>
      </c>
      <c r="Q24" s="8">
        <f t="shared" si="7"/>
        <v>1.412589928057554</v>
      </c>
      <c r="R24" s="8">
        <v>663.3</v>
      </c>
      <c r="S24" s="8">
        <f t="shared" si="8"/>
        <v>288339338.92909938</v>
      </c>
      <c r="T24" s="62">
        <f t="shared" si="9"/>
        <v>73515733.333333328</v>
      </c>
    </row>
    <row r="25" spans="1:22" ht="15.75" thickBot="1" x14ac:dyDescent="0.3">
      <c r="A25" s="82" t="s">
        <v>36</v>
      </c>
      <c r="B25" s="82">
        <v>24</v>
      </c>
      <c r="C25" s="31">
        <v>3</v>
      </c>
      <c r="D25" s="3">
        <v>5.5</v>
      </c>
      <c r="E25" s="3">
        <f>69/2</f>
        <v>34.5</v>
      </c>
      <c r="F25" s="3">
        <f t="shared" si="0"/>
        <v>0.44</v>
      </c>
      <c r="G25" s="3">
        <f t="shared" si="1"/>
        <v>13455</v>
      </c>
      <c r="H25" s="3">
        <f t="shared" si="2"/>
        <v>6.949294653487451E-6</v>
      </c>
      <c r="I25" s="3">
        <f t="shared" si="3"/>
        <v>3.481962631333782E-3</v>
      </c>
      <c r="J25" s="3">
        <f t="shared" si="4"/>
        <v>0.37161907952608786</v>
      </c>
      <c r="K25" s="3">
        <f t="shared" si="5"/>
        <v>1.04491352530111E-8</v>
      </c>
      <c r="L25" s="3">
        <f t="shared" si="6"/>
        <v>1.2410071942446043E-3</v>
      </c>
      <c r="M25" s="3">
        <v>390</v>
      </c>
      <c r="N25" s="3">
        <v>139</v>
      </c>
      <c r="O25" s="3">
        <v>164</v>
      </c>
      <c r="P25" s="3">
        <v>392.7</v>
      </c>
      <c r="Q25" s="3">
        <f t="shared" si="7"/>
        <v>1.412589928057554</v>
      </c>
      <c r="R25" s="3">
        <v>663.3</v>
      </c>
      <c r="S25" s="3">
        <f t="shared" si="8"/>
        <v>288339338.92909938</v>
      </c>
      <c r="T25" s="63">
        <f t="shared" si="9"/>
        <v>73515733.333333328</v>
      </c>
    </row>
    <row r="26" spans="1:22" ht="15.75" thickBot="1" x14ac:dyDescent="0.3">
      <c r="A26" s="82" t="s">
        <v>36</v>
      </c>
      <c r="B26" s="82">
        <v>25</v>
      </c>
      <c r="C26" s="32">
        <v>4</v>
      </c>
      <c r="D26" s="17">
        <v>7.2</v>
      </c>
      <c r="E26" s="17">
        <v>42.3</v>
      </c>
      <c r="F26" s="17">
        <f t="shared" si="0"/>
        <v>0.57600000000000007</v>
      </c>
      <c r="G26" s="17">
        <f t="shared" si="1"/>
        <v>16497</v>
      </c>
      <c r="H26" s="17">
        <f t="shared" si="2"/>
        <v>8.5204395316672232E-6</v>
      </c>
      <c r="I26" s="17">
        <f t="shared" si="3"/>
        <v>4.2691889653744628E-3</v>
      </c>
      <c r="J26" s="17">
        <f t="shared" si="4"/>
        <v>0.45563730620155118</v>
      </c>
      <c r="K26" s="17">
        <f t="shared" si="5"/>
        <v>1.2811548440648392E-8</v>
      </c>
      <c r="L26" s="17">
        <f t="shared" si="6"/>
        <v>1.5215827338129495E-3</v>
      </c>
      <c r="M26" s="17">
        <v>390</v>
      </c>
      <c r="N26" s="17">
        <v>139</v>
      </c>
      <c r="O26" s="17">
        <v>164</v>
      </c>
      <c r="P26" s="17">
        <v>392.7</v>
      </c>
      <c r="Q26" s="17">
        <f t="shared" si="7"/>
        <v>1.412589928057554</v>
      </c>
      <c r="R26" s="17">
        <v>663.3</v>
      </c>
      <c r="S26" s="17">
        <f t="shared" si="8"/>
        <v>288339338.92909938</v>
      </c>
      <c r="T26" s="64">
        <f t="shared" si="9"/>
        <v>73515733.333333328</v>
      </c>
    </row>
    <row r="27" spans="1:22" ht="15.75" thickBot="1" x14ac:dyDescent="0.3">
      <c r="A27" s="83" t="s">
        <v>37</v>
      </c>
      <c r="B27" s="83">
        <v>26</v>
      </c>
      <c r="C27" s="33">
        <v>2</v>
      </c>
      <c r="D27" s="8">
        <v>3.92</v>
      </c>
      <c r="E27" s="8">
        <v>25</v>
      </c>
      <c r="F27" s="8">
        <f t="shared" si="0"/>
        <v>0.31359999999999999</v>
      </c>
      <c r="G27" s="8">
        <f t="shared" si="1"/>
        <v>9750</v>
      </c>
      <c r="H27" s="8">
        <f t="shared" si="2"/>
        <v>5.0357207633967036E-6</v>
      </c>
      <c r="I27" s="8">
        <f t="shared" si="3"/>
        <v>2.5231613270534649E-3</v>
      </c>
      <c r="J27" s="8">
        <f t="shared" si="4"/>
        <v>0.2692891880623825</v>
      </c>
      <c r="K27" s="8">
        <f t="shared" si="5"/>
        <v>7.5718371398631168E-9</v>
      </c>
      <c r="L27" s="8">
        <f t="shared" si="6"/>
        <v>8.9928057553956839E-4</v>
      </c>
      <c r="M27" s="8">
        <v>390</v>
      </c>
      <c r="N27" s="8">
        <v>139</v>
      </c>
      <c r="O27" s="8">
        <v>164</v>
      </c>
      <c r="P27" s="8">
        <v>392.7</v>
      </c>
      <c r="Q27" s="8">
        <f t="shared" si="7"/>
        <v>1.412589928057554</v>
      </c>
      <c r="R27" s="8">
        <v>663.3</v>
      </c>
      <c r="S27" s="8">
        <f t="shared" si="8"/>
        <v>288339338.92909938</v>
      </c>
      <c r="T27" s="62">
        <f t="shared" si="9"/>
        <v>73515733.333333328</v>
      </c>
    </row>
    <row r="28" spans="1:22" ht="15.75" thickBot="1" x14ac:dyDescent="0.3">
      <c r="A28" s="83" t="s">
        <v>37</v>
      </c>
      <c r="B28" s="83">
        <v>27</v>
      </c>
      <c r="C28" s="93" t="s">
        <v>28</v>
      </c>
      <c r="D28" s="3">
        <v>9.67</v>
      </c>
      <c r="E28" s="3">
        <f>64.39/2</f>
        <v>32.195</v>
      </c>
      <c r="F28" s="3">
        <f t="shared" si="0"/>
        <v>0.77359999999999995</v>
      </c>
      <c r="G28" s="3">
        <f t="shared" si="1"/>
        <v>12556.05</v>
      </c>
      <c r="H28" s="3">
        <f t="shared" si="2"/>
        <v>6.4850011991022745E-6</v>
      </c>
      <c r="I28" s="3">
        <f t="shared" si="3"/>
        <v>3.2493271569794522E-3</v>
      </c>
      <c r="J28" s="3">
        <f t="shared" si="4"/>
        <v>0.34679061638673614</v>
      </c>
      <c r="K28" s="3">
        <f t="shared" si="5"/>
        <v>9.7510118687157211E-9</v>
      </c>
      <c r="L28" s="3">
        <f t="shared" si="6"/>
        <v>1.1580935251798562E-3</v>
      </c>
      <c r="M28" s="3">
        <v>390</v>
      </c>
      <c r="N28" s="3">
        <v>139</v>
      </c>
      <c r="O28" s="3">
        <v>164</v>
      </c>
      <c r="P28" s="3">
        <v>392.7</v>
      </c>
      <c r="Q28" s="3">
        <f t="shared" si="7"/>
        <v>1.412589928057554</v>
      </c>
      <c r="R28" s="3">
        <v>663.3</v>
      </c>
      <c r="S28" s="3">
        <f t="shared" si="8"/>
        <v>288339338.92909938</v>
      </c>
      <c r="T28" s="63">
        <f t="shared" si="9"/>
        <v>73515733.333333328</v>
      </c>
    </row>
    <row r="29" spans="1:22" ht="15.75" thickBot="1" x14ac:dyDescent="0.3">
      <c r="A29" s="83" t="s">
        <v>37</v>
      </c>
      <c r="B29" s="83">
        <v>28</v>
      </c>
      <c r="C29" s="24">
        <v>3</v>
      </c>
      <c r="D29" s="3">
        <v>4.6500000000000004</v>
      </c>
      <c r="E29" s="3">
        <f>65/2</f>
        <v>32.5</v>
      </c>
      <c r="F29" s="3">
        <f t="shared" si="0"/>
        <v>0.372</v>
      </c>
      <c r="G29" s="3">
        <f t="shared" si="1"/>
        <v>12675</v>
      </c>
      <c r="H29" s="3">
        <f t="shared" si="2"/>
        <v>6.5464369924157145E-6</v>
      </c>
      <c r="I29" s="3">
        <f t="shared" si="3"/>
        <v>3.2801097251695045E-3</v>
      </c>
      <c r="J29" s="3">
        <f t="shared" si="4"/>
        <v>0.35007594448109725</v>
      </c>
      <c r="K29" s="3">
        <f t="shared" si="5"/>
        <v>9.8433882818220515E-9</v>
      </c>
      <c r="L29" s="3">
        <f t="shared" si="6"/>
        <v>1.1690647482014388E-3</v>
      </c>
      <c r="M29" s="3">
        <v>390</v>
      </c>
      <c r="N29" s="3">
        <v>139</v>
      </c>
      <c r="O29" s="3">
        <v>164</v>
      </c>
      <c r="P29" s="3">
        <v>392.7</v>
      </c>
      <c r="Q29" s="3">
        <f t="shared" si="7"/>
        <v>1.412589928057554</v>
      </c>
      <c r="R29" s="3">
        <v>663.3</v>
      </c>
      <c r="S29" s="3">
        <f t="shared" si="8"/>
        <v>288339338.92909938</v>
      </c>
      <c r="T29" s="63">
        <f t="shared" si="9"/>
        <v>73515733.333333328</v>
      </c>
    </row>
    <row r="30" spans="1:22" ht="15.75" thickBot="1" x14ac:dyDescent="0.3">
      <c r="A30" s="83" t="s">
        <v>37</v>
      </c>
      <c r="B30" s="83">
        <v>29</v>
      </c>
      <c r="C30" s="24">
        <v>4</v>
      </c>
      <c r="D30" s="3">
        <v>6.82</v>
      </c>
      <c r="E30" s="3">
        <f>86/2</f>
        <v>43</v>
      </c>
      <c r="F30" s="3">
        <f t="shared" si="0"/>
        <v>0.54559999999999997</v>
      </c>
      <c r="G30" s="3">
        <f t="shared" si="1"/>
        <v>16770</v>
      </c>
      <c r="H30" s="3">
        <f t="shared" si="2"/>
        <v>8.6614397130423298E-6</v>
      </c>
      <c r="I30" s="3">
        <f t="shared" si="3"/>
        <v>4.3398374825319597E-3</v>
      </c>
      <c r="J30" s="3">
        <f t="shared" si="4"/>
        <v>0.46317740346729791</v>
      </c>
      <c r="K30" s="3">
        <f t="shared" si="5"/>
        <v>1.3023559880564561E-8</v>
      </c>
      <c r="L30" s="3">
        <f t="shared" si="6"/>
        <v>1.5467625899280575E-3</v>
      </c>
      <c r="M30" s="3">
        <v>390</v>
      </c>
      <c r="N30" s="3">
        <v>139</v>
      </c>
      <c r="O30" s="3">
        <v>164</v>
      </c>
      <c r="P30" s="3">
        <v>392.7</v>
      </c>
      <c r="Q30" s="3">
        <f t="shared" si="7"/>
        <v>1.412589928057554</v>
      </c>
      <c r="R30" s="3">
        <v>663.3</v>
      </c>
      <c r="S30" s="3">
        <f t="shared" si="8"/>
        <v>288339338.92909938</v>
      </c>
      <c r="T30" s="63">
        <f t="shared" si="9"/>
        <v>73515733.333333328</v>
      </c>
    </row>
    <row r="31" spans="1:22" ht="15.75" thickBot="1" x14ac:dyDescent="0.3">
      <c r="A31" s="83" t="s">
        <v>37</v>
      </c>
      <c r="B31" s="83">
        <v>30</v>
      </c>
      <c r="C31" s="30">
        <v>5</v>
      </c>
      <c r="D31" s="17">
        <v>9.32</v>
      </c>
      <c r="E31" s="17">
        <v>57</v>
      </c>
      <c r="F31" s="17">
        <f t="shared" si="0"/>
        <v>0.74560000000000004</v>
      </c>
      <c r="G31" s="17">
        <f t="shared" si="1"/>
        <v>22230</v>
      </c>
      <c r="H31" s="17">
        <f t="shared" si="2"/>
        <v>1.1481443340544485E-5</v>
      </c>
      <c r="I31" s="17">
        <f t="shared" si="3"/>
        <v>5.7528078256819009E-3</v>
      </c>
      <c r="J31" s="17">
        <f t="shared" si="4"/>
        <v>0.61397934878223204</v>
      </c>
      <c r="K31" s="17">
        <f t="shared" si="5"/>
        <v>1.7263788678887904E-8</v>
      </c>
      <c r="L31" s="17">
        <f t="shared" si="6"/>
        <v>2.0503597122302156E-3</v>
      </c>
      <c r="M31" s="17">
        <v>390</v>
      </c>
      <c r="N31" s="17">
        <v>139</v>
      </c>
      <c r="O31" s="17">
        <v>164</v>
      </c>
      <c r="P31" s="17">
        <v>392.7</v>
      </c>
      <c r="Q31" s="17">
        <f t="shared" si="7"/>
        <v>1.412589928057554</v>
      </c>
      <c r="R31" s="17">
        <v>663.3</v>
      </c>
      <c r="S31" s="17">
        <f t="shared" si="8"/>
        <v>288339338.92909938</v>
      </c>
      <c r="T31" s="64">
        <f t="shared" si="9"/>
        <v>73515733.333333328</v>
      </c>
    </row>
    <row r="32" spans="1:22" ht="15.75" thickBot="1" x14ac:dyDescent="0.3">
      <c r="A32" s="84" t="s">
        <v>38</v>
      </c>
      <c r="B32" s="85">
        <v>31</v>
      </c>
      <c r="C32" s="6" t="s">
        <v>41</v>
      </c>
      <c r="D32" s="8">
        <v>7.2</v>
      </c>
      <c r="E32" s="8">
        <v>50</v>
      </c>
      <c r="F32" s="8">
        <f t="shared" si="0"/>
        <v>0.57600000000000007</v>
      </c>
      <c r="G32" s="8">
        <f t="shared" si="1"/>
        <v>19500</v>
      </c>
      <c r="H32" s="8">
        <f t="shared" si="2"/>
        <v>6.5801799000988136E-6</v>
      </c>
      <c r="I32" s="8">
        <f t="shared" si="3"/>
        <v>3.6696902405058528E-3</v>
      </c>
      <c r="J32" s="8">
        <f t="shared" si="4"/>
        <v>0.42041999736531194</v>
      </c>
      <c r="K32" s="8">
        <f t="shared" si="5"/>
        <v>1.0101208194398959E-8</v>
      </c>
      <c r="L32" s="8">
        <f t="shared" si="6"/>
        <v>1.5337423312883436E-3</v>
      </c>
      <c r="M32" s="8">
        <v>390</v>
      </c>
      <c r="N32" s="8">
        <v>163</v>
      </c>
      <c r="O32" s="8">
        <v>189</v>
      </c>
      <c r="P32" s="8">
        <v>452.39</v>
      </c>
      <c r="Q32" s="8">
        <f t="shared" si="7"/>
        <v>1.3876993865030673</v>
      </c>
      <c r="R32" s="8">
        <v>629</v>
      </c>
      <c r="S32" s="8">
        <f t="shared" si="8"/>
        <v>432276708.56195867</v>
      </c>
      <c r="T32" s="62">
        <f t="shared" si="9"/>
        <v>112521150</v>
      </c>
    </row>
    <row r="33" spans="1:22" ht="15.75" thickBot="1" x14ac:dyDescent="0.3">
      <c r="A33" s="85" t="s">
        <v>39</v>
      </c>
      <c r="B33" s="85">
        <v>32</v>
      </c>
      <c r="C33" s="34" t="s">
        <v>42</v>
      </c>
      <c r="D33" s="3">
        <v>6.53</v>
      </c>
      <c r="E33" s="3">
        <v>50.7</v>
      </c>
      <c r="F33" s="3">
        <f t="shared" si="0"/>
        <v>0.52240000000000009</v>
      </c>
      <c r="G33" s="3">
        <f t="shared" si="1"/>
        <v>19773</v>
      </c>
      <c r="H33" s="3">
        <f t="shared" si="2"/>
        <v>6.672302418700197E-6</v>
      </c>
      <c r="I33" s="3">
        <f t="shared" si="3"/>
        <v>3.7210659038729348E-3</v>
      </c>
      <c r="J33" s="3">
        <f t="shared" si="4"/>
        <v>0.42630587732842629</v>
      </c>
      <c r="K33" s="3">
        <f t="shared" si="5"/>
        <v>1.0242625109120545E-8</v>
      </c>
      <c r="L33" s="3">
        <f t="shared" si="6"/>
        <v>1.5552147239263805E-3</v>
      </c>
      <c r="M33" s="3">
        <v>390</v>
      </c>
      <c r="N33" s="8">
        <v>163</v>
      </c>
      <c r="O33" s="8">
        <v>189</v>
      </c>
      <c r="P33" s="8">
        <v>452.39</v>
      </c>
      <c r="Q33" s="3">
        <f t="shared" si="7"/>
        <v>1.3876993865030673</v>
      </c>
      <c r="R33" s="3">
        <v>629</v>
      </c>
      <c r="S33" s="3">
        <f t="shared" si="8"/>
        <v>432276708.56195867</v>
      </c>
      <c r="T33" s="63">
        <f t="shared" si="9"/>
        <v>112521150</v>
      </c>
    </row>
    <row r="34" spans="1:22" ht="15.75" thickBot="1" x14ac:dyDescent="0.3">
      <c r="A34" s="86" t="s">
        <v>40</v>
      </c>
      <c r="B34" s="85">
        <v>33</v>
      </c>
      <c r="C34" s="35" t="s">
        <v>43</v>
      </c>
      <c r="D34" s="17">
        <v>5.4</v>
      </c>
      <c r="E34" s="17">
        <v>44.9</v>
      </c>
      <c r="F34" s="17">
        <f t="shared" ref="F34:F55" si="10">D34/$W$2*100</f>
        <v>0.432</v>
      </c>
      <c r="G34" s="17">
        <f t="shared" ref="G34:G55" si="11">E34*M34</f>
        <v>17511</v>
      </c>
      <c r="H34" s="17">
        <f t="shared" ref="H34:H55" si="12">G34/($W$5*T34*0.001)</f>
        <v>5.9090015502887345E-6</v>
      </c>
      <c r="I34" s="17">
        <f t="shared" ref="I34:I55" si="13">G34/($W$3*N34^2)</f>
        <v>3.2953818359742555E-3</v>
      </c>
      <c r="J34" s="17">
        <f t="shared" ref="J34:J55" si="14">G34/(P34*R34*N34*0.001)</f>
        <v>0.3775371576340501</v>
      </c>
      <c r="K34" s="17">
        <f t="shared" ref="K34:K55" si="15">E34/($W$6*S34*0.001)</f>
        <v>9.0708849585702656E-9</v>
      </c>
      <c r="L34" s="17">
        <f t="shared" ref="L34:L55" si="16">E34/($W$3*N34)</f>
        <v>1.3773006134969324E-3</v>
      </c>
      <c r="M34" s="17">
        <v>390</v>
      </c>
      <c r="N34" s="21">
        <v>163</v>
      </c>
      <c r="O34" s="21">
        <v>189</v>
      </c>
      <c r="P34" s="21">
        <v>452.39</v>
      </c>
      <c r="Q34" s="17">
        <f t="shared" ref="Q34:Q55" si="17">P34/($W$3*N34)*100</f>
        <v>1.3876993865030673</v>
      </c>
      <c r="R34" s="17">
        <v>629</v>
      </c>
      <c r="S34" s="17">
        <f t="shared" ref="S34:S55" si="18">(1/3-0.21*(MIN($W$3,O34)/MAX($W$3,O34))*(MIN($W$3,O34)^4/(12*MAX($W$3,O34)^4)))*MAX($W$3,O34)*MIN($W$3,O34)^3</f>
        <v>432276708.56195867</v>
      </c>
      <c r="T34" s="64">
        <f t="shared" ref="T34:T55" si="19">$W$3*O34^3/12</f>
        <v>112521150</v>
      </c>
    </row>
    <row r="35" spans="1:22" ht="15.75" thickBot="1" x14ac:dyDescent="0.3">
      <c r="A35" s="87" t="s">
        <v>44</v>
      </c>
      <c r="B35" s="87">
        <v>34</v>
      </c>
      <c r="C35" s="39">
        <v>2</v>
      </c>
      <c r="D35" s="8">
        <v>3.25</v>
      </c>
      <c r="E35" s="19">
        <f>71.3/2</f>
        <v>35.65</v>
      </c>
      <c r="F35" s="36">
        <f t="shared" si="10"/>
        <v>0.26</v>
      </c>
      <c r="G35" s="8">
        <f t="shared" si="11"/>
        <v>13903.5</v>
      </c>
      <c r="H35" s="8">
        <f t="shared" si="12"/>
        <v>2.409776144137305E-6</v>
      </c>
      <c r="I35" s="8">
        <f t="shared" si="13"/>
        <v>1.5763605442176871E-3</v>
      </c>
      <c r="J35" s="8">
        <f t="shared" si="14"/>
        <v>0.18613552633502012</v>
      </c>
      <c r="K35" s="8">
        <f t="shared" si="15"/>
        <v>5.0632151118157129E-9</v>
      </c>
      <c r="L35" s="8">
        <f t="shared" si="16"/>
        <v>8.4880952380952382E-4</v>
      </c>
      <c r="M35" s="36">
        <v>390</v>
      </c>
      <c r="N35" s="36">
        <v>210</v>
      </c>
      <c r="O35" s="36">
        <v>236</v>
      </c>
      <c r="P35" s="36">
        <v>565.49</v>
      </c>
      <c r="Q35" s="36">
        <f t="shared" si="17"/>
        <v>1.3464047619047619</v>
      </c>
      <c r="R35" s="36">
        <v>629</v>
      </c>
      <c r="S35" s="36">
        <f t="shared" si="18"/>
        <v>614891244.82907891</v>
      </c>
      <c r="T35" s="67">
        <f t="shared" si="19"/>
        <v>219070933.33333334</v>
      </c>
      <c r="U35" s="1"/>
      <c r="V35" s="1"/>
    </row>
    <row r="36" spans="1:22" ht="15.75" thickBot="1" x14ac:dyDescent="0.3">
      <c r="A36" s="87" t="s">
        <v>44</v>
      </c>
      <c r="B36" s="87">
        <v>35</v>
      </c>
      <c r="C36" s="34">
        <v>3</v>
      </c>
      <c r="D36" s="3">
        <v>3.53</v>
      </c>
      <c r="E36" s="13">
        <f>85/2</f>
        <v>42.5</v>
      </c>
      <c r="F36" s="7">
        <f t="shared" si="10"/>
        <v>0.28239999999999998</v>
      </c>
      <c r="G36" s="3">
        <f t="shared" si="11"/>
        <v>16575</v>
      </c>
      <c r="H36" s="3">
        <f t="shared" si="12"/>
        <v>2.8728046599112333E-6</v>
      </c>
      <c r="I36" s="3">
        <f t="shared" si="13"/>
        <v>1.879251700680272E-3</v>
      </c>
      <c r="J36" s="3">
        <f t="shared" si="14"/>
        <v>0.22190069759434378</v>
      </c>
      <c r="K36" s="3">
        <f t="shared" si="15"/>
        <v>6.0360909467648754E-9</v>
      </c>
      <c r="L36" s="3">
        <f t="shared" si="16"/>
        <v>1.0119047619047618E-3</v>
      </c>
      <c r="M36" s="7">
        <v>390</v>
      </c>
      <c r="N36" s="7">
        <v>210</v>
      </c>
      <c r="O36" s="7">
        <v>236</v>
      </c>
      <c r="P36" s="7">
        <v>565.49</v>
      </c>
      <c r="Q36" s="7">
        <f t="shared" si="17"/>
        <v>1.3464047619047619</v>
      </c>
      <c r="R36" s="7">
        <v>629</v>
      </c>
      <c r="S36" s="7">
        <f t="shared" si="18"/>
        <v>614891244.82907891</v>
      </c>
      <c r="T36" s="68">
        <f t="shared" si="19"/>
        <v>219070933.33333334</v>
      </c>
      <c r="U36" s="1"/>
      <c r="V36" s="1"/>
    </row>
    <row r="37" spans="1:22" ht="15.75" thickBot="1" x14ac:dyDescent="0.3">
      <c r="A37" s="87" t="s">
        <v>44</v>
      </c>
      <c r="B37" s="87">
        <v>36</v>
      </c>
      <c r="C37" s="34">
        <v>4</v>
      </c>
      <c r="D37" s="3">
        <v>3.85</v>
      </c>
      <c r="E37" s="13">
        <f>94/2</f>
        <v>47</v>
      </c>
      <c r="F37" s="3">
        <f t="shared" si="10"/>
        <v>0.30800000000000005</v>
      </c>
      <c r="G37" s="3">
        <f t="shared" si="11"/>
        <v>18330</v>
      </c>
      <c r="H37" s="3">
        <f t="shared" si="12"/>
        <v>3.176983976843011E-6</v>
      </c>
      <c r="I37" s="3">
        <f t="shared" si="13"/>
        <v>2.078231292517007E-3</v>
      </c>
      <c r="J37" s="3">
        <f t="shared" si="14"/>
        <v>0.24539606557492136</v>
      </c>
      <c r="K37" s="3">
        <f t="shared" si="15"/>
        <v>6.6752064587752736E-9</v>
      </c>
      <c r="L37" s="3">
        <f t="shared" si="16"/>
        <v>1.1190476190476191E-3</v>
      </c>
      <c r="M37" s="7">
        <v>390</v>
      </c>
      <c r="N37" s="7">
        <v>210</v>
      </c>
      <c r="O37" s="7">
        <v>236</v>
      </c>
      <c r="P37" s="7">
        <v>565.49</v>
      </c>
      <c r="Q37" s="7">
        <f t="shared" si="17"/>
        <v>1.3464047619047619</v>
      </c>
      <c r="R37" s="7">
        <v>629</v>
      </c>
      <c r="S37" s="7">
        <f t="shared" si="18"/>
        <v>614891244.82907891</v>
      </c>
      <c r="T37" s="68">
        <f t="shared" si="19"/>
        <v>219070933.33333334</v>
      </c>
    </row>
    <row r="38" spans="1:22" ht="15.75" thickBot="1" x14ac:dyDescent="0.3">
      <c r="A38" s="87" t="s">
        <v>44</v>
      </c>
      <c r="B38" s="87">
        <v>37</v>
      </c>
      <c r="C38" s="34">
        <v>5</v>
      </c>
      <c r="D38" s="3">
        <v>4.55</v>
      </c>
      <c r="E38" s="3">
        <f>124/2</f>
        <v>62</v>
      </c>
      <c r="F38" s="3">
        <f t="shared" si="10"/>
        <v>0.36399999999999999</v>
      </c>
      <c r="G38" s="3">
        <f t="shared" si="11"/>
        <v>24180</v>
      </c>
      <c r="H38" s="3">
        <f t="shared" si="12"/>
        <v>4.1909150332822701E-6</v>
      </c>
      <c r="I38" s="3">
        <f t="shared" si="13"/>
        <v>2.7414965986394557E-3</v>
      </c>
      <c r="J38" s="3">
        <f t="shared" si="14"/>
        <v>0.32371395884351328</v>
      </c>
      <c r="K38" s="3">
        <f t="shared" si="15"/>
        <v>8.8055914988099353E-9</v>
      </c>
      <c r="L38" s="3">
        <f t="shared" si="16"/>
        <v>1.4761904761904762E-3</v>
      </c>
      <c r="M38" s="7">
        <v>390</v>
      </c>
      <c r="N38" s="7">
        <v>210</v>
      </c>
      <c r="O38" s="7">
        <v>236</v>
      </c>
      <c r="P38" s="7">
        <v>565.49</v>
      </c>
      <c r="Q38" s="7">
        <f t="shared" si="17"/>
        <v>1.3464047619047619</v>
      </c>
      <c r="R38" s="7">
        <v>629</v>
      </c>
      <c r="S38" s="7">
        <f t="shared" si="18"/>
        <v>614891244.82907891</v>
      </c>
      <c r="T38" s="68">
        <f t="shared" si="19"/>
        <v>219070933.33333334</v>
      </c>
    </row>
    <row r="39" spans="1:22" ht="15.75" thickBot="1" x14ac:dyDescent="0.3">
      <c r="A39" s="87" t="s">
        <v>44</v>
      </c>
      <c r="B39" s="87">
        <v>38</v>
      </c>
      <c r="C39" s="40">
        <v>6</v>
      </c>
      <c r="D39" s="17">
        <v>4.6399999999999997</v>
      </c>
      <c r="E39" s="17">
        <f>126.5/2</f>
        <v>63.25</v>
      </c>
      <c r="F39" s="17">
        <f t="shared" si="10"/>
        <v>0.37119999999999997</v>
      </c>
      <c r="G39" s="17">
        <f t="shared" si="11"/>
        <v>24667.5</v>
      </c>
      <c r="H39" s="17">
        <f t="shared" si="12"/>
        <v>4.2754092879855416E-6</v>
      </c>
      <c r="I39" s="17">
        <f t="shared" si="13"/>
        <v>2.796768707482993E-3</v>
      </c>
      <c r="J39" s="17">
        <f t="shared" si="14"/>
        <v>0.33024044994922924</v>
      </c>
      <c r="K39" s="17">
        <f t="shared" si="15"/>
        <v>8.983123585479491E-9</v>
      </c>
      <c r="L39" s="17">
        <f t="shared" si="16"/>
        <v>1.505952380952381E-3</v>
      </c>
      <c r="M39" s="41">
        <v>390</v>
      </c>
      <c r="N39" s="41">
        <v>210</v>
      </c>
      <c r="O39" s="41">
        <v>236</v>
      </c>
      <c r="P39" s="41">
        <v>565.49</v>
      </c>
      <c r="Q39" s="41">
        <f t="shared" si="17"/>
        <v>1.3464047619047619</v>
      </c>
      <c r="R39" s="41">
        <v>629</v>
      </c>
      <c r="S39" s="41">
        <f t="shared" si="18"/>
        <v>614891244.82907891</v>
      </c>
      <c r="T39" s="69">
        <f t="shared" si="19"/>
        <v>219070933.33333334</v>
      </c>
    </row>
    <row r="40" spans="1:22" ht="15.75" thickBot="1" x14ac:dyDescent="0.3">
      <c r="A40" s="88" t="s">
        <v>45</v>
      </c>
      <c r="B40" s="88">
        <v>39</v>
      </c>
      <c r="C40" s="23">
        <v>2</v>
      </c>
      <c r="D40" s="8">
        <v>2.13</v>
      </c>
      <c r="E40" s="8">
        <f>104/2</f>
        <v>52</v>
      </c>
      <c r="F40" s="8">
        <f t="shared" si="10"/>
        <v>0.1704</v>
      </c>
      <c r="G40" s="8">
        <f t="shared" si="11"/>
        <v>20280</v>
      </c>
      <c r="H40" s="8">
        <f t="shared" si="12"/>
        <v>3.5149609956560972E-6</v>
      </c>
      <c r="I40" s="8">
        <f t="shared" si="13"/>
        <v>2.2993197278911564E-3</v>
      </c>
      <c r="J40" s="8">
        <f t="shared" si="14"/>
        <v>0.27150202999778533</v>
      </c>
      <c r="K40" s="8">
        <f t="shared" si="15"/>
        <v>7.3853348054534947E-9</v>
      </c>
      <c r="L40" s="8">
        <f t="shared" si="16"/>
        <v>1.238095238095238E-3</v>
      </c>
      <c r="M40" s="36">
        <v>390</v>
      </c>
      <c r="N40" s="36">
        <v>210</v>
      </c>
      <c r="O40" s="36">
        <v>236</v>
      </c>
      <c r="P40" s="36">
        <v>565.49</v>
      </c>
      <c r="Q40" s="36">
        <f t="shared" si="17"/>
        <v>1.3464047619047619</v>
      </c>
      <c r="R40" s="36">
        <v>629</v>
      </c>
      <c r="S40" s="36">
        <f t="shared" si="18"/>
        <v>614891244.82907891</v>
      </c>
      <c r="T40" s="67">
        <f t="shared" si="19"/>
        <v>219070933.33333334</v>
      </c>
    </row>
    <row r="41" spans="1:22" ht="15.75" thickBot="1" x14ac:dyDescent="0.3">
      <c r="A41" s="88" t="s">
        <v>45</v>
      </c>
      <c r="B41" s="88">
        <v>40</v>
      </c>
      <c r="C41" s="24">
        <v>3</v>
      </c>
      <c r="D41" s="3">
        <v>2.77</v>
      </c>
      <c r="E41" s="3">
        <f>120/2</f>
        <v>60</v>
      </c>
      <c r="F41" s="3">
        <f t="shared" si="10"/>
        <v>0.22160000000000002</v>
      </c>
      <c r="G41" s="3">
        <f t="shared" si="11"/>
        <v>23400</v>
      </c>
      <c r="H41" s="3">
        <f t="shared" si="12"/>
        <v>4.0557242257570349E-6</v>
      </c>
      <c r="I41" s="3">
        <f t="shared" si="13"/>
        <v>2.6530612244897961E-3</v>
      </c>
      <c r="J41" s="3">
        <f t="shared" si="14"/>
        <v>0.3132715730743677</v>
      </c>
      <c r="K41" s="3">
        <f t="shared" si="15"/>
        <v>8.5215401601386469E-9</v>
      </c>
      <c r="L41" s="3">
        <f t="shared" si="16"/>
        <v>1.4285714285714286E-3</v>
      </c>
      <c r="M41" s="7">
        <v>390</v>
      </c>
      <c r="N41" s="7">
        <v>210</v>
      </c>
      <c r="O41" s="7">
        <v>236</v>
      </c>
      <c r="P41" s="7">
        <v>565.49</v>
      </c>
      <c r="Q41" s="7">
        <f t="shared" si="17"/>
        <v>1.3464047619047619</v>
      </c>
      <c r="R41" s="7">
        <v>629</v>
      </c>
      <c r="S41" s="7">
        <f t="shared" si="18"/>
        <v>614891244.82907891</v>
      </c>
      <c r="T41" s="68">
        <f t="shared" si="19"/>
        <v>219070933.33333334</v>
      </c>
    </row>
    <row r="42" spans="1:22" ht="15.75" thickBot="1" x14ac:dyDescent="0.3">
      <c r="A42" s="88" t="s">
        <v>45</v>
      </c>
      <c r="B42" s="88">
        <v>41</v>
      </c>
      <c r="C42" s="24">
        <v>4</v>
      </c>
      <c r="D42" s="3">
        <v>2.82</v>
      </c>
      <c r="E42" s="3">
        <f>124/2</f>
        <v>62</v>
      </c>
      <c r="F42" s="3">
        <f t="shared" si="10"/>
        <v>0.22559999999999997</v>
      </c>
      <c r="G42" s="3">
        <f t="shared" si="11"/>
        <v>24180</v>
      </c>
      <c r="H42" s="3">
        <f t="shared" si="12"/>
        <v>4.1909150332822701E-6</v>
      </c>
      <c r="I42" s="3">
        <f t="shared" si="13"/>
        <v>2.7414965986394557E-3</v>
      </c>
      <c r="J42" s="3">
        <f t="shared" si="14"/>
        <v>0.32371395884351328</v>
      </c>
      <c r="K42" s="3">
        <f t="shared" si="15"/>
        <v>8.8055914988099353E-9</v>
      </c>
      <c r="L42" s="3">
        <f t="shared" si="16"/>
        <v>1.4761904761904762E-3</v>
      </c>
      <c r="M42" s="7">
        <v>390</v>
      </c>
      <c r="N42" s="7">
        <v>210</v>
      </c>
      <c r="O42" s="7">
        <v>236</v>
      </c>
      <c r="P42" s="7">
        <v>565.49</v>
      </c>
      <c r="Q42" s="7">
        <f t="shared" si="17"/>
        <v>1.3464047619047619</v>
      </c>
      <c r="R42" s="7">
        <v>629</v>
      </c>
      <c r="S42" s="7">
        <f t="shared" si="18"/>
        <v>614891244.82907891</v>
      </c>
      <c r="T42" s="68">
        <f t="shared" si="19"/>
        <v>219070933.33333334</v>
      </c>
    </row>
    <row r="43" spans="1:22" ht="15.75" thickBot="1" x14ac:dyDescent="0.3">
      <c r="A43" s="88" t="s">
        <v>45</v>
      </c>
      <c r="B43" s="88">
        <v>42</v>
      </c>
      <c r="C43" s="24">
        <v>5</v>
      </c>
      <c r="D43" s="3">
        <v>3.51</v>
      </c>
      <c r="E43" s="3">
        <f>133/2</f>
        <v>66.5</v>
      </c>
      <c r="F43" s="3">
        <f t="shared" si="10"/>
        <v>0.28079999999999999</v>
      </c>
      <c r="G43" s="3">
        <f t="shared" si="11"/>
        <v>25935</v>
      </c>
      <c r="H43" s="3">
        <f t="shared" si="12"/>
        <v>4.4950943502140473E-6</v>
      </c>
      <c r="I43" s="3">
        <f t="shared" si="13"/>
        <v>2.9404761904761904E-3</v>
      </c>
      <c r="J43" s="3">
        <f t="shared" si="14"/>
        <v>0.34720932682409084</v>
      </c>
      <c r="K43" s="3">
        <f t="shared" si="15"/>
        <v>9.4447070108203351E-9</v>
      </c>
      <c r="L43" s="3">
        <f t="shared" si="16"/>
        <v>1.5833333333333333E-3</v>
      </c>
      <c r="M43" s="7">
        <v>390</v>
      </c>
      <c r="N43" s="7">
        <v>210</v>
      </c>
      <c r="O43" s="7">
        <v>236</v>
      </c>
      <c r="P43" s="7">
        <v>565.49</v>
      </c>
      <c r="Q43" s="7">
        <f t="shared" si="17"/>
        <v>1.3464047619047619</v>
      </c>
      <c r="R43" s="7">
        <v>629</v>
      </c>
      <c r="S43" s="7">
        <f t="shared" si="18"/>
        <v>614891244.82907891</v>
      </c>
      <c r="T43" s="68">
        <f t="shared" si="19"/>
        <v>219070933.33333334</v>
      </c>
    </row>
    <row r="44" spans="1:22" ht="15.75" thickBot="1" x14ac:dyDescent="0.3">
      <c r="A44" s="88" t="s">
        <v>45</v>
      </c>
      <c r="B44" s="88">
        <v>43</v>
      </c>
      <c r="C44" s="30">
        <v>6</v>
      </c>
      <c r="D44" s="17">
        <v>3.66</v>
      </c>
      <c r="E44" s="17">
        <v>70.099999999999994</v>
      </c>
      <c r="F44" s="17">
        <f t="shared" si="10"/>
        <v>0.2928</v>
      </c>
      <c r="G44" s="17">
        <f t="shared" si="11"/>
        <v>27338.999999999996</v>
      </c>
      <c r="H44" s="17">
        <f t="shared" si="12"/>
        <v>4.7384378037594686E-6</v>
      </c>
      <c r="I44" s="17">
        <f t="shared" si="13"/>
        <v>3.0996598639455777E-3</v>
      </c>
      <c r="J44" s="17">
        <f t="shared" si="14"/>
        <v>0.36600562120855284</v>
      </c>
      <c r="K44" s="17">
        <f t="shared" si="15"/>
        <v>9.9559994204286527E-9</v>
      </c>
      <c r="L44" s="17">
        <f t="shared" si="16"/>
        <v>1.6690476190476188E-3</v>
      </c>
      <c r="M44" s="41">
        <v>390</v>
      </c>
      <c r="N44" s="41">
        <v>210</v>
      </c>
      <c r="O44" s="41">
        <v>236</v>
      </c>
      <c r="P44" s="41">
        <v>565.49</v>
      </c>
      <c r="Q44" s="41">
        <f t="shared" si="17"/>
        <v>1.3464047619047619</v>
      </c>
      <c r="R44" s="41">
        <v>629</v>
      </c>
      <c r="S44" s="41">
        <f t="shared" si="18"/>
        <v>614891244.82907891</v>
      </c>
      <c r="T44" s="69">
        <f t="shared" si="19"/>
        <v>219070933.33333334</v>
      </c>
    </row>
    <row r="45" spans="1:22" ht="15.75" thickBot="1" x14ac:dyDescent="0.3">
      <c r="A45" s="89" t="s">
        <v>46</v>
      </c>
      <c r="B45" s="89">
        <v>44</v>
      </c>
      <c r="C45" s="23">
        <v>2</v>
      </c>
      <c r="D45" s="8">
        <v>3.6</v>
      </c>
      <c r="E45" s="8">
        <f>96/2</f>
        <v>48</v>
      </c>
      <c r="F45" s="8">
        <f t="shared" si="10"/>
        <v>0.28800000000000003</v>
      </c>
      <c r="G45" s="17">
        <f t="shared" si="11"/>
        <v>18720</v>
      </c>
      <c r="H45" s="8">
        <f t="shared" si="12"/>
        <v>3.2445793806056281E-6</v>
      </c>
      <c r="I45" s="8">
        <f t="shared" si="13"/>
        <v>2.1224489795918368E-3</v>
      </c>
      <c r="J45" s="8">
        <f t="shared" si="14"/>
        <v>0.25061725845949412</v>
      </c>
      <c r="K45" s="8">
        <f t="shared" si="15"/>
        <v>6.8172321281109178E-9</v>
      </c>
      <c r="L45" s="8">
        <f t="shared" si="16"/>
        <v>1.1428571428571429E-3</v>
      </c>
      <c r="M45" s="36">
        <v>390</v>
      </c>
      <c r="N45" s="36">
        <v>210</v>
      </c>
      <c r="O45" s="36">
        <v>236</v>
      </c>
      <c r="P45" s="36">
        <v>565.49</v>
      </c>
      <c r="Q45" s="36">
        <f t="shared" si="17"/>
        <v>1.3464047619047619</v>
      </c>
      <c r="R45" s="36">
        <v>629</v>
      </c>
      <c r="S45" s="36">
        <f t="shared" si="18"/>
        <v>614891244.82907891</v>
      </c>
      <c r="T45" s="67">
        <f t="shared" si="19"/>
        <v>219070933.33333334</v>
      </c>
    </row>
    <row r="46" spans="1:22" ht="15.75" thickBot="1" x14ac:dyDescent="0.3">
      <c r="A46" s="89" t="s">
        <v>46</v>
      </c>
      <c r="B46" s="89">
        <v>45</v>
      </c>
      <c r="C46" s="24">
        <v>3</v>
      </c>
      <c r="D46" s="3">
        <v>3.93</v>
      </c>
      <c r="E46" s="3">
        <f>120/2</f>
        <v>60</v>
      </c>
      <c r="F46" s="3">
        <f t="shared" si="10"/>
        <v>0.31440000000000001</v>
      </c>
      <c r="G46" s="17">
        <f t="shared" si="11"/>
        <v>23400</v>
      </c>
      <c r="H46" s="3">
        <f t="shared" si="12"/>
        <v>4.0557242257570349E-6</v>
      </c>
      <c r="I46" s="3">
        <f t="shared" si="13"/>
        <v>2.6530612244897961E-3</v>
      </c>
      <c r="J46" s="3">
        <f t="shared" si="14"/>
        <v>0.3132715730743677</v>
      </c>
      <c r="K46" s="3">
        <f t="shared" si="15"/>
        <v>8.5215401601386469E-9</v>
      </c>
      <c r="L46" s="3">
        <f t="shared" si="16"/>
        <v>1.4285714285714286E-3</v>
      </c>
      <c r="M46" s="7">
        <v>390</v>
      </c>
      <c r="N46" s="7">
        <v>210</v>
      </c>
      <c r="O46" s="7">
        <v>236</v>
      </c>
      <c r="P46" s="7">
        <v>565.49</v>
      </c>
      <c r="Q46" s="7">
        <f t="shared" si="17"/>
        <v>1.3464047619047619</v>
      </c>
      <c r="R46" s="7">
        <v>629</v>
      </c>
      <c r="S46" s="7">
        <f t="shared" si="18"/>
        <v>614891244.82907891</v>
      </c>
      <c r="T46" s="68">
        <f t="shared" si="19"/>
        <v>219070933.33333334</v>
      </c>
    </row>
    <row r="47" spans="1:22" ht="15.75" thickBot="1" x14ac:dyDescent="0.3">
      <c r="A47" s="89" t="s">
        <v>46</v>
      </c>
      <c r="B47" s="89">
        <v>46</v>
      </c>
      <c r="C47" s="30">
        <v>4</v>
      </c>
      <c r="D47" s="17">
        <v>3.97</v>
      </c>
      <c r="E47" s="17">
        <f>124/2</f>
        <v>62</v>
      </c>
      <c r="F47" s="17">
        <f t="shared" si="10"/>
        <v>0.31759999999999999</v>
      </c>
      <c r="G47" s="17">
        <f t="shared" si="11"/>
        <v>24180</v>
      </c>
      <c r="H47" s="17">
        <f t="shared" si="12"/>
        <v>4.1909150332822701E-6</v>
      </c>
      <c r="I47" s="17">
        <f t="shared" si="13"/>
        <v>2.7414965986394557E-3</v>
      </c>
      <c r="J47" s="17">
        <f t="shared" si="14"/>
        <v>0.32371395884351328</v>
      </c>
      <c r="K47" s="17">
        <f t="shared" si="15"/>
        <v>8.8055914988099353E-9</v>
      </c>
      <c r="L47" s="17">
        <f t="shared" si="16"/>
        <v>1.4761904761904762E-3</v>
      </c>
      <c r="M47" s="41">
        <v>390</v>
      </c>
      <c r="N47" s="41">
        <v>210</v>
      </c>
      <c r="O47" s="41">
        <v>236</v>
      </c>
      <c r="P47" s="41">
        <v>565.49</v>
      </c>
      <c r="Q47" s="41">
        <f t="shared" si="17"/>
        <v>1.3464047619047619</v>
      </c>
      <c r="R47" s="41">
        <v>629</v>
      </c>
      <c r="S47" s="41">
        <f t="shared" si="18"/>
        <v>614891244.82907891</v>
      </c>
      <c r="T47" s="69">
        <f t="shared" si="19"/>
        <v>219070933.33333334</v>
      </c>
    </row>
    <row r="48" spans="1:22" ht="15.75" thickBot="1" x14ac:dyDescent="0.3">
      <c r="A48" s="90" t="s">
        <v>47</v>
      </c>
      <c r="B48" s="90">
        <v>47</v>
      </c>
      <c r="C48" s="46">
        <v>2</v>
      </c>
      <c r="D48" s="47">
        <v>2.87</v>
      </c>
      <c r="E48" s="47">
        <f>144/2</f>
        <v>72</v>
      </c>
      <c r="F48" s="47">
        <f t="shared" si="10"/>
        <v>0.22960000000000003</v>
      </c>
      <c r="G48" s="17">
        <f t="shared" si="11"/>
        <v>25200</v>
      </c>
      <c r="H48" s="21">
        <f t="shared" si="12"/>
        <v>1.5270550307411107E-6</v>
      </c>
      <c r="I48" s="21">
        <f t="shared" si="13"/>
        <v>1.3368842109730606E-3</v>
      </c>
      <c r="J48" s="21">
        <f t="shared" si="14"/>
        <v>0.16009984321770188</v>
      </c>
      <c r="K48" s="21">
        <f t="shared" si="15"/>
        <v>7.0667033414538448E-9</v>
      </c>
      <c r="L48" s="21">
        <f t="shared" si="16"/>
        <v>1.1726384364820848E-3</v>
      </c>
      <c r="M48" s="47">
        <v>350</v>
      </c>
      <c r="N48" s="47">
        <v>307</v>
      </c>
      <c r="O48" s="47">
        <v>335</v>
      </c>
      <c r="P48" s="47">
        <v>804.25</v>
      </c>
      <c r="Q48" s="47">
        <f t="shared" si="17"/>
        <v>1.3098534201954397</v>
      </c>
      <c r="R48" s="47">
        <v>637.5</v>
      </c>
      <c r="S48" s="47">
        <f t="shared" si="18"/>
        <v>889776211.12658358</v>
      </c>
      <c r="T48" s="70">
        <f t="shared" si="19"/>
        <v>626589583.33333337</v>
      </c>
      <c r="U48"/>
    </row>
    <row r="49" spans="1:21" ht="15.75" thickBot="1" x14ac:dyDescent="0.3">
      <c r="A49" s="90" t="s">
        <v>47</v>
      </c>
      <c r="B49" s="90">
        <v>48</v>
      </c>
      <c r="C49" s="45">
        <v>3</v>
      </c>
      <c r="D49" s="44">
        <v>3.33</v>
      </c>
      <c r="E49" s="44">
        <f>177/2</f>
        <v>88.5</v>
      </c>
      <c r="F49" s="44">
        <f t="shared" si="10"/>
        <v>0.26640000000000003</v>
      </c>
      <c r="G49" s="17">
        <f t="shared" si="11"/>
        <v>30975</v>
      </c>
      <c r="H49" s="17">
        <f t="shared" si="12"/>
        <v>1.8770051419526153E-6</v>
      </c>
      <c r="I49" s="17">
        <f t="shared" si="13"/>
        <v>1.6432535093210538E-3</v>
      </c>
      <c r="J49" s="17">
        <f t="shared" si="14"/>
        <v>0.19678939062175857</v>
      </c>
      <c r="K49" s="17">
        <f t="shared" si="15"/>
        <v>8.6861561905370184E-9</v>
      </c>
      <c r="L49" s="17">
        <f t="shared" si="16"/>
        <v>1.4413680781758958E-3</v>
      </c>
      <c r="M49" s="44">
        <v>350</v>
      </c>
      <c r="N49" s="44">
        <v>307</v>
      </c>
      <c r="O49" s="44">
        <v>335</v>
      </c>
      <c r="P49" s="44">
        <v>804.25</v>
      </c>
      <c r="Q49" s="44">
        <f t="shared" si="17"/>
        <v>1.3098534201954397</v>
      </c>
      <c r="R49" s="44">
        <v>637.5</v>
      </c>
      <c r="S49" s="44">
        <f t="shared" si="18"/>
        <v>889776211.12658358</v>
      </c>
      <c r="T49" s="71">
        <f t="shared" si="19"/>
        <v>626589583.33333337</v>
      </c>
      <c r="U49"/>
    </row>
    <row r="50" spans="1:21" ht="15.75" thickBot="1" x14ac:dyDescent="0.3">
      <c r="A50" s="90" t="s">
        <v>47</v>
      </c>
      <c r="B50" s="90">
        <v>49</v>
      </c>
      <c r="C50" s="45">
        <v>4</v>
      </c>
      <c r="D50" s="44">
        <v>3.45</v>
      </c>
      <c r="E50" s="44">
        <f>181/2</f>
        <v>90.5</v>
      </c>
      <c r="F50" s="44">
        <f t="shared" si="10"/>
        <v>0.27600000000000002</v>
      </c>
      <c r="G50" s="17">
        <f t="shared" si="11"/>
        <v>31675</v>
      </c>
      <c r="H50" s="17">
        <f t="shared" si="12"/>
        <v>1.9194233372509797E-6</v>
      </c>
      <c r="I50" s="17">
        <f t="shared" si="13"/>
        <v>1.6803891818480833E-3</v>
      </c>
      <c r="J50" s="17">
        <f t="shared" si="14"/>
        <v>0.20123660848891695</v>
      </c>
      <c r="K50" s="17">
        <f t="shared" si="15"/>
        <v>8.882453505577403E-9</v>
      </c>
      <c r="L50" s="17">
        <f t="shared" si="16"/>
        <v>1.4739413680781759E-3</v>
      </c>
      <c r="M50" s="44">
        <v>350</v>
      </c>
      <c r="N50" s="44">
        <v>307</v>
      </c>
      <c r="O50" s="44">
        <v>335</v>
      </c>
      <c r="P50" s="44">
        <v>804.25</v>
      </c>
      <c r="Q50" s="44">
        <f t="shared" si="17"/>
        <v>1.3098534201954397</v>
      </c>
      <c r="R50" s="44">
        <v>637.5</v>
      </c>
      <c r="S50" s="44">
        <f t="shared" si="18"/>
        <v>889776211.12658358</v>
      </c>
      <c r="T50" s="71">
        <f t="shared" si="19"/>
        <v>626589583.33333337</v>
      </c>
      <c r="U50"/>
    </row>
    <row r="51" spans="1:21" ht="15.75" thickBot="1" x14ac:dyDescent="0.3">
      <c r="A51" s="90" t="s">
        <v>47</v>
      </c>
      <c r="B51" s="90">
        <v>50</v>
      </c>
      <c r="C51" s="45">
        <v>5</v>
      </c>
      <c r="D51" s="44">
        <v>3.65</v>
      </c>
      <c r="E51" s="44">
        <f>196/2</f>
        <v>98</v>
      </c>
      <c r="F51" s="44">
        <f t="shared" si="10"/>
        <v>0.29199999999999998</v>
      </c>
      <c r="G51" s="17">
        <f t="shared" si="11"/>
        <v>34300</v>
      </c>
      <c r="H51" s="17">
        <f t="shared" si="12"/>
        <v>2.0784915696198451E-6</v>
      </c>
      <c r="I51" s="17">
        <f t="shared" si="13"/>
        <v>1.8196479538244437E-3</v>
      </c>
      <c r="J51" s="17">
        <f t="shared" si="14"/>
        <v>0.21791367549076091</v>
      </c>
      <c r="K51" s="17">
        <f t="shared" si="15"/>
        <v>9.6185684369788443E-9</v>
      </c>
      <c r="L51" s="17">
        <f t="shared" si="16"/>
        <v>1.5960912052117263E-3</v>
      </c>
      <c r="M51" s="44">
        <v>350</v>
      </c>
      <c r="N51" s="44">
        <v>307</v>
      </c>
      <c r="O51" s="44">
        <v>335</v>
      </c>
      <c r="P51" s="44">
        <v>804.25</v>
      </c>
      <c r="Q51" s="44">
        <f t="shared" si="17"/>
        <v>1.3098534201954397</v>
      </c>
      <c r="R51" s="44">
        <v>637.5</v>
      </c>
      <c r="S51" s="44">
        <f t="shared" si="18"/>
        <v>889776211.12658358</v>
      </c>
      <c r="T51" s="71">
        <f t="shared" si="19"/>
        <v>626589583.33333337</v>
      </c>
    </row>
    <row r="52" spans="1:21" ht="15.75" thickBot="1" x14ac:dyDescent="0.3">
      <c r="A52" s="90" t="s">
        <v>47</v>
      </c>
      <c r="B52" s="90">
        <v>51</v>
      </c>
      <c r="C52" s="43">
        <v>8</v>
      </c>
      <c r="D52" s="52">
        <v>9.4499999999999993</v>
      </c>
      <c r="E52" s="52">
        <v>151</v>
      </c>
      <c r="F52" s="52">
        <f t="shared" si="10"/>
        <v>0.75599999999999989</v>
      </c>
      <c r="G52" s="17">
        <f t="shared" si="11"/>
        <v>52850</v>
      </c>
      <c r="H52" s="17">
        <f t="shared" si="12"/>
        <v>3.202573745026496E-6</v>
      </c>
      <c r="I52" s="17">
        <f t="shared" si="13"/>
        <v>2.8037432757907245E-3</v>
      </c>
      <c r="J52" s="17">
        <f t="shared" si="14"/>
        <v>0.33576494897045811</v>
      </c>
      <c r="K52" s="17">
        <f t="shared" si="15"/>
        <v>1.4820447285549036E-8</v>
      </c>
      <c r="L52" s="17">
        <f t="shared" si="16"/>
        <v>2.4592833876221497E-3</v>
      </c>
      <c r="M52" s="52">
        <v>350</v>
      </c>
      <c r="N52" s="52">
        <v>307</v>
      </c>
      <c r="O52" s="52">
        <v>335</v>
      </c>
      <c r="P52" s="52">
        <v>804.25</v>
      </c>
      <c r="Q52" s="52">
        <f t="shared" si="17"/>
        <v>1.3098534201954397</v>
      </c>
      <c r="R52" s="52">
        <v>637.5</v>
      </c>
      <c r="S52" s="52">
        <f t="shared" si="18"/>
        <v>889776211.12658358</v>
      </c>
      <c r="T52" s="72">
        <f t="shared" si="19"/>
        <v>626589583.33333337</v>
      </c>
    </row>
    <row r="53" spans="1:21" ht="15.75" thickBot="1" x14ac:dyDescent="0.3">
      <c r="A53" s="91" t="s">
        <v>48</v>
      </c>
      <c r="B53" s="91">
        <v>52</v>
      </c>
      <c r="C53" s="54">
        <v>2</v>
      </c>
      <c r="D53" s="8">
        <v>3.51</v>
      </c>
      <c r="E53" s="19">
        <f>0.8*E54</f>
        <v>72</v>
      </c>
      <c r="F53" s="47">
        <f t="shared" si="10"/>
        <v>0.28079999999999999</v>
      </c>
      <c r="G53" s="8">
        <f t="shared" si="11"/>
        <v>25200</v>
      </c>
      <c r="H53" s="8">
        <f t="shared" si="12"/>
        <v>1.5270550307411107E-6</v>
      </c>
      <c r="I53" s="8">
        <f t="shared" si="13"/>
        <v>1.3368842109730606E-3</v>
      </c>
      <c r="J53" s="8">
        <f t="shared" si="14"/>
        <v>0.15934996104806395</v>
      </c>
      <c r="K53" s="8">
        <f t="shared" si="15"/>
        <v>7.0667033414538448E-9</v>
      </c>
      <c r="L53" s="8">
        <f t="shared" si="16"/>
        <v>1.1726384364820848E-3</v>
      </c>
      <c r="M53" s="47">
        <v>350</v>
      </c>
      <c r="N53" s="47">
        <v>307</v>
      </c>
      <c r="O53" s="47">
        <v>335</v>
      </c>
      <c r="P53" s="47">
        <v>804.25</v>
      </c>
      <c r="Q53" s="47">
        <f t="shared" si="17"/>
        <v>1.3098534201954397</v>
      </c>
      <c r="R53" s="47">
        <v>640.5</v>
      </c>
      <c r="S53" s="47">
        <f t="shared" si="18"/>
        <v>889776211.12658358</v>
      </c>
      <c r="T53" s="70">
        <f t="shared" si="19"/>
        <v>626589583.33333337</v>
      </c>
    </row>
    <row r="54" spans="1:21" ht="15.75" thickBot="1" x14ac:dyDescent="0.3">
      <c r="A54" s="91" t="s">
        <v>48</v>
      </c>
      <c r="B54" s="91">
        <v>53</v>
      </c>
      <c r="C54" s="24">
        <v>6</v>
      </c>
      <c r="D54" s="7">
        <v>4.33</v>
      </c>
      <c r="E54" s="7">
        <f>180/2</f>
        <v>90</v>
      </c>
      <c r="F54" s="44">
        <f t="shared" si="10"/>
        <v>0.34639999999999999</v>
      </c>
      <c r="G54" s="3">
        <f t="shared" si="11"/>
        <v>31500</v>
      </c>
      <c r="H54" s="3">
        <f t="shared" si="12"/>
        <v>1.9088187884263886E-6</v>
      </c>
      <c r="I54" s="3">
        <f t="shared" si="13"/>
        <v>1.6711052637163259E-3</v>
      </c>
      <c r="J54" s="3">
        <f t="shared" si="14"/>
        <v>0.19918745131007992</v>
      </c>
      <c r="K54" s="3">
        <f t="shared" si="15"/>
        <v>8.833379176817306E-9</v>
      </c>
      <c r="L54" s="3">
        <f t="shared" si="16"/>
        <v>1.4657980456026058E-3</v>
      </c>
      <c r="M54" s="44">
        <v>350</v>
      </c>
      <c r="N54" s="44">
        <v>307</v>
      </c>
      <c r="O54" s="44">
        <v>335</v>
      </c>
      <c r="P54" s="44">
        <v>804.25</v>
      </c>
      <c r="Q54" s="44">
        <f t="shared" si="17"/>
        <v>1.3098534201954397</v>
      </c>
      <c r="R54" s="44">
        <v>640.5</v>
      </c>
      <c r="S54" s="44">
        <f t="shared" si="18"/>
        <v>889776211.12658358</v>
      </c>
      <c r="T54" s="71">
        <f t="shared" si="19"/>
        <v>626589583.33333337</v>
      </c>
    </row>
    <row r="55" spans="1:21" ht="15.75" thickBot="1" x14ac:dyDescent="0.3">
      <c r="A55" s="91" t="s">
        <v>48</v>
      </c>
      <c r="B55" s="91">
        <v>54</v>
      </c>
      <c r="C55" s="30">
        <v>7</v>
      </c>
      <c r="D55" s="17">
        <v>7.79</v>
      </c>
      <c r="E55" s="17">
        <f>374.5/2</f>
        <v>187.25</v>
      </c>
      <c r="F55" s="52">
        <f t="shared" si="10"/>
        <v>0.62319999999999998</v>
      </c>
      <c r="G55" s="17">
        <f t="shared" si="11"/>
        <v>65537.5</v>
      </c>
      <c r="H55" s="17">
        <f t="shared" si="12"/>
        <v>3.9714035348093469E-6</v>
      </c>
      <c r="I55" s="17">
        <f t="shared" si="13"/>
        <v>3.4768273403431335E-3</v>
      </c>
      <c r="J55" s="17">
        <f t="shared" si="14"/>
        <v>0.41442055842013853</v>
      </c>
      <c r="K55" s="17">
        <f t="shared" si="15"/>
        <v>1.8378336120656007E-8</v>
      </c>
      <c r="L55" s="17">
        <f t="shared" si="16"/>
        <v>3.0496742671009772E-3</v>
      </c>
      <c r="M55" s="52">
        <v>350</v>
      </c>
      <c r="N55" s="52">
        <v>307</v>
      </c>
      <c r="O55" s="52">
        <v>335</v>
      </c>
      <c r="P55" s="52">
        <v>804.25</v>
      </c>
      <c r="Q55" s="52">
        <f t="shared" si="17"/>
        <v>1.3098534201954397</v>
      </c>
      <c r="R55" s="52">
        <v>640.5</v>
      </c>
      <c r="S55" s="52">
        <f t="shared" si="18"/>
        <v>889776211.12658358</v>
      </c>
      <c r="T55" s="72">
        <f t="shared" si="19"/>
        <v>626589583.33333337</v>
      </c>
    </row>
    <row r="56" spans="1:21" x14ac:dyDescent="0.25">
      <c r="A56" s="354" t="s">
        <v>49</v>
      </c>
      <c r="B56" s="101"/>
      <c r="C56"/>
    </row>
    <row r="57" spans="1:21" x14ac:dyDescent="0.25">
      <c r="A57" s="355"/>
      <c r="B57" s="101"/>
      <c r="C57"/>
    </row>
    <row r="58" spans="1:21" x14ac:dyDescent="0.25">
      <c r="A58" s="355"/>
      <c r="B58" s="101"/>
    </row>
    <row r="59" spans="1:21" x14ac:dyDescent="0.25">
      <c r="A59" s="355"/>
      <c r="B59" s="101"/>
    </row>
    <row r="60" spans="1:21" ht="15.75" thickBot="1" x14ac:dyDescent="0.3">
      <c r="A60" s="356"/>
      <c r="B60" s="101"/>
    </row>
  </sheetData>
  <mergeCells count="1">
    <mergeCell ref="A56:A60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53"/>
  <sheetViews>
    <sheetView topLeftCell="D1" zoomScaleNormal="100" workbookViewId="0">
      <selection activeCell="T2" sqref="T2"/>
    </sheetView>
  </sheetViews>
  <sheetFormatPr defaultRowHeight="15" x14ac:dyDescent="0.25"/>
  <cols>
    <col min="1" max="2" width="20" style="2" customWidth="1"/>
    <col min="3" max="3" width="14" style="2" customWidth="1"/>
    <col min="4" max="4" width="16" style="2" customWidth="1"/>
    <col min="5" max="5" width="10.85546875" style="2" customWidth="1"/>
    <col min="6" max="6" width="18.28515625" style="2" customWidth="1"/>
    <col min="7" max="7" width="13.42578125" style="2" customWidth="1"/>
    <col min="8" max="8" width="11.85546875" style="2" customWidth="1"/>
    <col min="9" max="9" width="11.42578125" style="2" customWidth="1"/>
    <col min="10" max="10" width="13.140625" style="2" customWidth="1"/>
    <col min="11" max="11" width="8.85546875" style="2" customWidth="1"/>
    <col min="12" max="12" width="9.42578125" style="2" customWidth="1"/>
    <col min="13" max="17" width="10" style="2" customWidth="1"/>
    <col min="18" max="21" width="13.85546875" style="2" customWidth="1"/>
    <col min="22" max="22" width="16" style="2" customWidth="1"/>
    <col min="23" max="23" width="15.85546875" style="2" customWidth="1"/>
    <col min="24" max="24" width="17.85546875" style="2" customWidth="1"/>
    <col min="25" max="25" width="9.42578125" style="2" customWidth="1"/>
    <col min="26" max="27" width="9.5703125" style="2" customWidth="1"/>
    <col min="28" max="28" width="12.7109375" style="2" customWidth="1"/>
    <col min="29" max="29" width="12.42578125" style="2" customWidth="1"/>
    <col min="30" max="30" width="10.7109375" style="2" customWidth="1"/>
    <col min="31" max="31" width="11.7109375" style="2" customWidth="1"/>
    <col min="32" max="32" width="11" style="2" customWidth="1"/>
    <col min="33" max="33" width="12.42578125" customWidth="1"/>
    <col min="34" max="34" width="14.28515625" style="2" customWidth="1"/>
    <col min="35" max="16384" width="9.140625" style="2"/>
  </cols>
  <sheetData>
    <row r="1" spans="1:37" ht="79.5" customHeight="1" x14ac:dyDescent="0.25">
      <c r="A1" s="190" t="s">
        <v>50</v>
      </c>
      <c r="B1" s="73" t="s">
        <v>52</v>
      </c>
      <c r="C1" s="73" t="s">
        <v>4</v>
      </c>
      <c r="D1" s="191" t="s">
        <v>194</v>
      </c>
      <c r="E1" s="73" t="s">
        <v>24</v>
      </c>
      <c r="F1" s="191" t="s">
        <v>63</v>
      </c>
      <c r="G1" s="73" t="s">
        <v>23</v>
      </c>
      <c r="H1" s="73" t="s">
        <v>3</v>
      </c>
      <c r="I1" s="73" t="s">
        <v>13</v>
      </c>
      <c r="J1" s="73" t="s">
        <v>14</v>
      </c>
      <c r="K1" s="73" t="s">
        <v>20</v>
      </c>
      <c r="L1" s="73" t="s">
        <v>19</v>
      </c>
      <c r="M1" s="73" t="s">
        <v>53</v>
      </c>
      <c r="N1" s="73" t="s">
        <v>54</v>
      </c>
      <c r="O1" s="73" t="s">
        <v>79</v>
      </c>
      <c r="P1" s="73" t="s">
        <v>81</v>
      </c>
      <c r="Q1" s="73" t="s">
        <v>82</v>
      </c>
      <c r="R1" s="73" t="s">
        <v>83</v>
      </c>
      <c r="S1" s="73" t="s">
        <v>86</v>
      </c>
      <c r="T1" s="73" t="s">
        <v>87</v>
      </c>
      <c r="U1" s="73" t="s">
        <v>88</v>
      </c>
      <c r="V1" s="73" t="s">
        <v>139</v>
      </c>
      <c r="W1" s="73" t="s">
        <v>102</v>
      </c>
      <c r="X1" s="73" t="s">
        <v>295</v>
      </c>
      <c r="Y1" s="73" t="s">
        <v>5</v>
      </c>
      <c r="Z1" s="73" t="s">
        <v>9</v>
      </c>
      <c r="AA1" s="73" t="s">
        <v>12</v>
      </c>
      <c r="AB1" s="73" t="s">
        <v>10</v>
      </c>
      <c r="AC1" s="73" t="s">
        <v>11</v>
      </c>
      <c r="AD1" s="73" t="s">
        <v>18</v>
      </c>
      <c r="AE1" s="73" t="s">
        <v>15</v>
      </c>
      <c r="AF1" s="192" t="s">
        <v>17</v>
      </c>
      <c r="AG1" t="s">
        <v>75</v>
      </c>
    </row>
    <row r="2" spans="1:37" x14ac:dyDescent="0.25">
      <c r="A2" s="193" t="s">
        <v>0</v>
      </c>
      <c r="B2" s="194">
        <v>2</v>
      </c>
      <c r="C2" s="3">
        <v>2</v>
      </c>
      <c r="D2" s="3">
        <f>Table112[[#This Row],[a (mm)]]/Table112[[#This Row],[d (mm)]]</f>
        <v>4.8148148148148149</v>
      </c>
      <c r="E2" s="3">
        <v>25.5</v>
      </c>
      <c r="F2" s="3">
        <f>Table112[[#This Row],[d (mm)]]</f>
        <v>81</v>
      </c>
      <c r="G2" s="3">
        <f t="shared" ref="G2:G48" si="0">E2*Y2</f>
        <v>9945</v>
      </c>
      <c r="H2" s="3">
        <f t="shared" ref="H2:H48" si="1">G2/($AI$5*AF2*0.001)</f>
        <v>3.1314497088739043E-6</v>
      </c>
      <c r="I2" s="103">
        <f t="shared" ref="I2:I48" si="2">G2/($AI$2*Z2^2)</f>
        <v>1.2126200274348423E-3</v>
      </c>
      <c r="J2" s="3">
        <f t="shared" ref="J2:J48" si="3">G2/(AB2*AD2*Z2*0.001)</f>
        <v>0.78161956170948321</v>
      </c>
      <c r="K2" s="3">
        <f t="shared" ref="K2:K48" si="4">E2/($AI$4*AE2*0.001)</f>
        <v>1.6836583642561794E-6</v>
      </c>
      <c r="L2" s="3">
        <f t="shared" ref="L2:L48" si="5">E2/($AI$3*Z2)</f>
        <v>1.5740740740740741E-3</v>
      </c>
      <c r="M2" s="3">
        <f>Table112[[#This Row],[M (KN.mm)]]/($AI$3*Table112[[#This Row],[d (mm)]])</f>
        <v>0.61388888888888893</v>
      </c>
      <c r="N2" s="3">
        <f>Table112[[#This Row],[M (KN.mm)]]/($AI$3*Table112[[#This Row],[h (mm)]])</f>
        <v>0.47357142857142859</v>
      </c>
      <c r="O2" s="3">
        <f>Table112[[#This Row],[M (KN.mm)]]/($AI$3*Table112[[#This Row],[h (mm)]]*$AI$2)</f>
        <v>3.7885714285714286E-4</v>
      </c>
      <c r="P2" s="3">
        <f>Table112[[#This Row],[M (KN.mm)]]/($AI$3*Table112[[#This Row],[d (mm)]]*$AI$2)</f>
        <v>4.9111111111111111E-4</v>
      </c>
      <c r="Q2" s="3">
        <f>Table112[[#This Row],[M (KN.mm)]]/($AI$3*Table112[[#This Row],[h (mm)]]*$AI$2*$AI$4)</f>
        <v>1.2065514103730665E-5</v>
      </c>
      <c r="R2" s="3">
        <f>Table112[[#This Row],[M (KN.mm)]]/($AI$3*Table112[[#This Row],[h (mm)]]*($AI$2-Table112[[#This Row],[a (mm)]]))</f>
        <v>5.5066445182724248E-4</v>
      </c>
      <c r="S2" s="3">
        <f>Table112[[#This Row],[M (KN.mm)]]/(Table112[[#This Row],[a (mm)]]*$AI$3*Table112[[#This Row],[h (mm)]]*($AI$2-Table112[[#This Row],[a (mm)]]))</f>
        <v>1.4119601328903655E-6</v>
      </c>
      <c r="T2" s="3">
        <f>Table112[[#This Row],[M (KN.mm)]]/(Table112[[#This Row],[a (mm)]]^2*$AI$3*Table112[[#This Row],[h (mm)]])</f>
        <v>3.1135531135531136E-6</v>
      </c>
      <c r="U2" s="3">
        <f>Table112[[#This Row],[M (KN.mm)]]/($AI$3*Table112[[#This Row],[d (mm)]]*Table112[[#This Row],[pho (%)]])</f>
        <v>0.39569490311542593</v>
      </c>
      <c r="V2" s="3">
        <f>E2*224.8/(2*SQRT($AI$4*145.037)*$AI$3*Table112[[#This Row],[d (mm)]]*(1/25.4)^2)</f>
        <v>1.6914325436739335</v>
      </c>
      <c r="W2" s="3">
        <f>Table112[[#This Row],[M (KN.mm)]]/$G$3</f>
        <v>0.96226415094339623</v>
      </c>
      <c r="X2" s="3">
        <f t="shared" ref="X2:X48" si="6">V2</f>
        <v>1.6914325436739335</v>
      </c>
      <c r="Y2" s="3">
        <v>390</v>
      </c>
      <c r="Z2" s="3">
        <v>81</v>
      </c>
      <c r="AA2" s="3">
        <v>105</v>
      </c>
      <c r="AB2" s="3">
        <v>251.33</v>
      </c>
      <c r="AC2" s="3">
        <f>AB2/($AI$3*Z2)*100</f>
        <v>1.5514197530864198</v>
      </c>
      <c r="AD2" s="3">
        <v>625</v>
      </c>
      <c r="AE2" s="3">
        <f t="shared" ref="AE2:AE48" si="7">(1/3-0.21*(MIN($AI$2,AA2)/MAX($AI$2,AA2))*(MIN($AI$2,AA2)^4/(12*MAX($AI$2,AA2)^4)))*MAX($AI$2,AA2)*MIN($AI$2,AA2)^3</f>
        <v>482343644.0959937</v>
      </c>
      <c r="AF2" s="63">
        <f t="shared" ref="AF2:AF48" si="8">$AI$2*AA2^3/12</f>
        <v>120585937.5</v>
      </c>
      <c r="AH2" s="14" t="s">
        <v>22</v>
      </c>
      <c r="AI2" s="14">
        <v>1250</v>
      </c>
    </row>
    <row r="3" spans="1:37" x14ac:dyDescent="0.25">
      <c r="A3" s="193" t="s">
        <v>0</v>
      </c>
      <c r="B3" s="194">
        <v>3</v>
      </c>
      <c r="C3" s="3">
        <v>3</v>
      </c>
      <c r="D3" s="3">
        <f>Table112[[#This Row],[a (mm)]]/Table112[[#This Row],[d (mm)]]</f>
        <v>4.8148148148148149</v>
      </c>
      <c r="E3" s="3">
        <v>26.5</v>
      </c>
      <c r="F3" s="3">
        <f>Table112[[#This Row],[d (mm)]]</f>
        <v>81</v>
      </c>
      <c r="G3" s="3">
        <f t="shared" si="0"/>
        <v>10335</v>
      </c>
      <c r="H3" s="3">
        <f t="shared" si="1"/>
        <v>3.2542516582415087E-6</v>
      </c>
      <c r="I3" s="103">
        <f t="shared" si="2"/>
        <v>1.2601737540009145E-3</v>
      </c>
      <c r="J3" s="3">
        <f t="shared" si="3"/>
        <v>0.81227130922750224</v>
      </c>
      <c r="K3" s="3">
        <f t="shared" si="4"/>
        <v>1.7496841824623042E-6</v>
      </c>
      <c r="L3" s="3">
        <f t="shared" si="5"/>
        <v>1.6358024691358025E-3</v>
      </c>
      <c r="M3" s="3">
        <f>Table112[[#This Row],[M (KN.mm)]]/($AI$3*Table112[[#This Row],[d (mm)]])</f>
        <v>0.63796296296296295</v>
      </c>
      <c r="N3" s="3">
        <f>Table112[[#This Row],[M (KN.mm)]]/($AI$3*Table112[[#This Row],[h (mm)]])</f>
        <v>0.49214285714285716</v>
      </c>
      <c r="O3" s="3">
        <f>Table112[[#This Row],[M (KN.mm)]]/($AI$3*Table112[[#This Row],[h (mm)]]*$AI$2)</f>
        <v>3.937142857142857E-4</v>
      </c>
      <c r="P3" s="3">
        <f>Table112[[#This Row],[M (KN.mm)]]/($AI$3*Table112[[#This Row],[d (mm)]]*$AI$2)</f>
        <v>5.1037037037037034E-4</v>
      </c>
      <c r="Q3" s="3">
        <f>Table112[[#This Row],[M (KN.mm)]]/($AI$3*Table112[[#This Row],[h (mm)]]*$AI$2*$AI$4)</f>
        <v>1.253867151956324E-5</v>
      </c>
      <c r="R3" s="3">
        <f>Table112[[#This Row],[M (KN.mm)]]/($AI$3*Table112[[#This Row],[h (mm)]]*($AI$2-Table112[[#This Row],[a (mm)]]))</f>
        <v>5.7225913621262461E-4</v>
      </c>
      <c r="S3" s="3">
        <f>Table112[[#This Row],[M (KN.mm)]]/(Table112[[#This Row],[a (mm)]]*$AI$3*Table112[[#This Row],[h (mm)]]*($AI$2-Table112[[#This Row],[a (mm)]]))</f>
        <v>1.4673311184939093E-6</v>
      </c>
      <c r="T3" s="3">
        <f>Table112[[#This Row],[M (KN.mm)]]/(Table112[[#This Row],[a (mm)]]^2*$AI$3*Table112[[#This Row],[h (mm)]])</f>
        <v>3.2356532356532357E-6</v>
      </c>
      <c r="U3" s="3">
        <f>Table112[[#This Row],[M (KN.mm)]]/($AI$3*Table112[[#This Row],[d (mm)]]*Table112[[#This Row],[pho (%)]])</f>
        <v>0.41121235029642306</v>
      </c>
      <c r="V3" s="3">
        <f>E3*224.8/(2*SQRT($AI$4*145.037)*$AI$3*Table112[[#This Row],[d (mm)]]*(1/25.4)^2)</f>
        <v>1.7577632316611467</v>
      </c>
      <c r="W3" s="3">
        <f>Table112[[#This Row],[M (KN.mm)]]/$G$3</f>
        <v>1</v>
      </c>
      <c r="X3" s="3">
        <f t="shared" si="6"/>
        <v>1.7577632316611467</v>
      </c>
      <c r="Y3" s="3">
        <v>390</v>
      </c>
      <c r="Z3" s="3">
        <v>81</v>
      </c>
      <c r="AA3" s="3">
        <v>105</v>
      </c>
      <c r="AB3" s="3">
        <v>251.33</v>
      </c>
      <c r="AC3" s="3">
        <f t="shared" ref="AC3:AC48" si="9">AB3/($AI$3*Z3)*100</f>
        <v>1.5514197530864198</v>
      </c>
      <c r="AD3" s="3">
        <v>625</v>
      </c>
      <c r="AE3" s="3">
        <f t="shared" si="7"/>
        <v>482343644.0959937</v>
      </c>
      <c r="AF3" s="63">
        <f t="shared" si="8"/>
        <v>120585937.5</v>
      </c>
      <c r="AH3" s="14" t="s">
        <v>6</v>
      </c>
      <c r="AI3" s="14">
        <v>200</v>
      </c>
      <c r="AK3" s="2">
        <f>AI2/25.4</f>
        <v>49.212598425196852</v>
      </c>
    </row>
    <row r="4" spans="1:37" x14ac:dyDescent="0.25">
      <c r="A4" s="195" t="s">
        <v>1</v>
      </c>
      <c r="B4" s="196">
        <v>5</v>
      </c>
      <c r="C4" s="3">
        <v>2</v>
      </c>
      <c r="D4" s="3">
        <f>Table112[[#This Row],[a (mm)]]/Table112[[#This Row],[d (mm)]]</f>
        <v>4.8148148148148149</v>
      </c>
      <c r="E4" s="3">
        <v>25</v>
      </c>
      <c r="F4" s="3">
        <f>Table112[[#This Row],[d (mm)]]</f>
        <v>81</v>
      </c>
      <c r="G4" s="3">
        <f t="shared" si="0"/>
        <v>9750</v>
      </c>
      <c r="H4" s="3">
        <f t="shared" si="1"/>
        <v>3.0700487341901024E-6</v>
      </c>
      <c r="I4" s="3">
        <f t="shared" si="2"/>
        <v>1.1888431641518061E-3</v>
      </c>
      <c r="J4" s="3">
        <f t="shared" si="3"/>
        <v>0.76629368795047381</v>
      </c>
      <c r="K4" s="3">
        <f t="shared" si="4"/>
        <v>1.6506454551531173E-6</v>
      </c>
      <c r="L4" s="3">
        <f t="shared" si="5"/>
        <v>1.5432098765432098E-3</v>
      </c>
      <c r="M4" s="3">
        <f>Table112[[#This Row],[M (KN.mm)]]/($AI$3*Table112[[#This Row],[d (mm)]])</f>
        <v>0.60185185185185186</v>
      </c>
      <c r="N4" s="3">
        <f>Table112[[#This Row],[M (KN.mm)]]/($AI$3*Table112[[#This Row],[h (mm)]])</f>
        <v>0.4642857142857143</v>
      </c>
      <c r="O4" s="3">
        <f>Table112[[#This Row],[M (KN.mm)]]/($AI$3*Table112[[#This Row],[h (mm)]]*$AI$2)</f>
        <v>3.7142857142857143E-4</v>
      </c>
      <c r="P4" s="3">
        <f>Table112[[#This Row],[M (KN.mm)]]/($AI$3*Table112[[#This Row],[d (mm)]]*$AI$2)</f>
        <v>4.814814814814815E-4</v>
      </c>
      <c r="Q4" s="3">
        <f>Table112[[#This Row],[M (KN.mm)]]/($AI$3*Table112[[#This Row],[h (mm)]]*$AI$2*$AI$4)</f>
        <v>1.1828935395814377E-5</v>
      </c>
      <c r="R4" s="3">
        <f>Table112[[#This Row],[M (KN.mm)]]/($AI$3*Table112[[#This Row],[h (mm)]]*($AI$2-Table112[[#This Row],[a (mm)]]))</f>
        <v>5.3986710963455152E-4</v>
      </c>
      <c r="S4" s="3">
        <f>Table112[[#This Row],[M (KN.mm)]]/(Table112[[#This Row],[a (mm)]]*$AI$3*Table112[[#This Row],[h (mm)]]*($AI$2-Table112[[#This Row],[a (mm)]]))</f>
        <v>1.3842746400885937E-6</v>
      </c>
      <c r="T4" s="3">
        <f>Table112[[#This Row],[M (KN.mm)]]/(Table112[[#This Row],[a (mm)]]^2*$AI$3*Table112[[#This Row],[h (mm)]])</f>
        <v>3.0525030525030525E-6</v>
      </c>
      <c r="U4" s="3">
        <f>Table112[[#This Row],[M (KN.mm)]]/($AI$3*Table112[[#This Row],[d (mm)]]*Table112[[#This Row],[pho (%)]])</f>
        <v>0.38793617952492737</v>
      </c>
      <c r="V4" s="3">
        <f>E4*224.8/(2*SQRT($AI$4*145.037)*$AI$3*Table112[[#This Row],[d (mm)]]*(1/25.4)^2)</f>
        <v>1.6582671996803269</v>
      </c>
      <c r="W4" s="3">
        <f>Table112[[#This Row],[M (KN.mm)]]/$G$5</f>
        <v>0.79617834394904463</v>
      </c>
      <c r="X4" s="3">
        <f t="shared" si="6"/>
        <v>1.6582671996803269</v>
      </c>
      <c r="Y4" s="3">
        <v>390</v>
      </c>
      <c r="Z4" s="3">
        <v>81</v>
      </c>
      <c r="AA4" s="3">
        <v>105</v>
      </c>
      <c r="AB4" s="3">
        <v>251.33</v>
      </c>
      <c r="AC4" s="3">
        <f t="shared" si="9"/>
        <v>1.5514197530864198</v>
      </c>
      <c r="AD4" s="3">
        <v>625</v>
      </c>
      <c r="AE4" s="3">
        <f t="shared" si="7"/>
        <v>482343644.0959937</v>
      </c>
      <c r="AF4" s="63">
        <f t="shared" si="8"/>
        <v>120585937.5</v>
      </c>
      <c r="AH4" s="14" t="s">
        <v>7</v>
      </c>
      <c r="AI4" s="14">
        <v>31.4</v>
      </c>
    </row>
    <row r="5" spans="1:37" x14ac:dyDescent="0.25">
      <c r="A5" s="195" t="s">
        <v>1</v>
      </c>
      <c r="B5" s="196">
        <v>6</v>
      </c>
      <c r="C5" s="3">
        <v>3</v>
      </c>
      <c r="D5" s="3">
        <f>Table112[[#This Row],[a (mm)]]/Table112[[#This Row],[d (mm)]]</f>
        <v>4.8148148148148149</v>
      </c>
      <c r="E5" s="3">
        <v>31.4</v>
      </c>
      <c r="F5" s="3">
        <f>Table112[[#This Row],[d (mm)]]</f>
        <v>81</v>
      </c>
      <c r="G5" s="3">
        <f t="shared" si="0"/>
        <v>12246</v>
      </c>
      <c r="H5" s="3">
        <f t="shared" si="1"/>
        <v>3.8559812101427685E-6</v>
      </c>
      <c r="I5" s="103">
        <f t="shared" si="2"/>
        <v>1.4931870141746686E-3</v>
      </c>
      <c r="J5" s="3">
        <f t="shared" si="3"/>
        <v>0.96246487206579512</v>
      </c>
      <c r="K5" s="3">
        <f t="shared" si="4"/>
        <v>2.0732106916723153E-6</v>
      </c>
      <c r="L5" s="3">
        <f t="shared" si="5"/>
        <v>1.9382716049382714E-3</v>
      </c>
      <c r="M5" s="3">
        <f>Table112[[#This Row],[M (KN.mm)]]/($AI$3*Table112[[#This Row],[d (mm)]])</f>
        <v>0.75592592592592589</v>
      </c>
      <c r="N5" s="3">
        <f>Table112[[#This Row],[M (KN.mm)]]/($AI$3*Table112[[#This Row],[h (mm)]])</f>
        <v>0.58314285714285718</v>
      </c>
      <c r="O5" s="3">
        <f>Table112[[#This Row],[M (KN.mm)]]/($AI$3*Table112[[#This Row],[h (mm)]]*$AI$2)</f>
        <v>4.6651428571428574E-4</v>
      </c>
      <c r="P5" s="3">
        <f>Table112[[#This Row],[M (KN.mm)]]/($AI$3*Table112[[#This Row],[d (mm)]]*$AI$2)</f>
        <v>6.0474074074074076E-4</v>
      </c>
      <c r="Q5" s="3">
        <f>Table112[[#This Row],[M (KN.mm)]]/($AI$3*Table112[[#This Row],[h (mm)]]*$AI$2*$AI$4)</f>
        <v>1.4857142857142857E-5</v>
      </c>
      <c r="R5" s="3">
        <f>Table112[[#This Row],[M (KN.mm)]]/($AI$3*Table112[[#This Row],[h (mm)]]*($AI$2-Table112[[#This Row],[a (mm)]]))</f>
        <v>6.780730897009967E-4</v>
      </c>
      <c r="S5" s="3">
        <f>Table112[[#This Row],[M (KN.mm)]]/(Table112[[#This Row],[a (mm)]]*$AI$3*Table112[[#This Row],[h (mm)]]*($AI$2-Table112[[#This Row],[a (mm)]]))</f>
        <v>1.7386489479512734E-6</v>
      </c>
      <c r="T5" s="3">
        <f>Table112[[#This Row],[M (KN.mm)]]/(Table112[[#This Row],[a (mm)]]^2*$AI$3*Table112[[#This Row],[h (mm)]])</f>
        <v>3.8339438339438343E-6</v>
      </c>
      <c r="U5" s="3">
        <f>Table112[[#This Row],[M (KN.mm)]]/($AI$3*Table112[[#This Row],[d (mm)]]*Table112[[#This Row],[pho (%)]])</f>
        <v>0.4872478414833088</v>
      </c>
      <c r="V5" s="3">
        <f>E5*224.8/(2*SQRT($AI$4*145.037)*$AI$3*Table112[[#This Row],[d (mm)]]*(1/25.4)^2)</f>
        <v>2.0827836027984907</v>
      </c>
      <c r="W5" s="3">
        <f>Table112[[#This Row],[M (KN.mm)]]/$G$5</f>
        <v>1</v>
      </c>
      <c r="X5" s="3">
        <f t="shared" si="6"/>
        <v>2.0827836027984907</v>
      </c>
      <c r="Y5" s="3">
        <v>390</v>
      </c>
      <c r="Z5" s="3">
        <v>81</v>
      </c>
      <c r="AA5" s="3">
        <v>105</v>
      </c>
      <c r="AB5" s="3">
        <v>251.33</v>
      </c>
      <c r="AC5" s="3">
        <f t="shared" si="9"/>
        <v>1.5514197530864198</v>
      </c>
      <c r="AD5" s="3">
        <v>625</v>
      </c>
      <c r="AE5" s="3">
        <f t="shared" si="7"/>
        <v>482343644.0959937</v>
      </c>
      <c r="AF5" s="63">
        <f t="shared" si="8"/>
        <v>120585937.5</v>
      </c>
      <c r="AH5" s="14" t="s">
        <v>8</v>
      </c>
      <c r="AI5" s="14">
        <f>4700*SQRT(AI4)</f>
        <v>26336.780365109171</v>
      </c>
    </row>
    <row r="6" spans="1:37" x14ac:dyDescent="0.25">
      <c r="A6" s="197" t="s">
        <v>2</v>
      </c>
      <c r="B6" s="198">
        <v>8</v>
      </c>
      <c r="C6" s="3">
        <v>3</v>
      </c>
      <c r="D6" s="3">
        <f>Table112[[#This Row],[a (mm)]]/Table112[[#This Row],[d (mm)]]</f>
        <v>4.8148148148148149</v>
      </c>
      <c r="E6" s="3">
        <v>22.5</v>
      </c>
      <c r="F6" s="3">
        <f>Table112[[#This Row],[d (mm)]]</f>
        <v>81</v>
      </c>
      <c r="G6" s="3">
        <f t="shared" si="0"/>
        <v>8775</v>
      </c>
      <c r="H6" s="3">
        <f t="shared" si="1"/>
        <v>2.7630438607710921E-6</v>
      </c>
      <c r="I6" s="3">
        <f t="shared" si="2"/>
        <v>1.0699588477366254E-3</v>
      </c>
      <c r="J6" s="3">
        <f t="shared" si="3"/>
        <v>0.68966431915542636</v>
      </c>
      <c r="K6" s="3">
        <f t="shared" si="4"/>
        <v>1.4855809096378055E-6</v>
      </c>
      <c r="L6" s="3">
        <f t="shared" si="5"/>
        <v>1.3888888888888889E-3</v>
      </c>
      <c r="M6" s="3">
        <f>Table112[[#This Row],[M (KN.mm)]]/($AI$3*Table112[[#This Row],[d (mm)]])</f>
        <v>0.54166666666666663</v>
      </c>
      <c r="N6" s="3">
        <f>Table112[[#This Row],[M (KN.mm)]]/($AI$3*Table112[[#This Row],[h (mm)]])</f>
        <v>0.41785714285714287</v>
      </c>
      <c r="O6" s="3">
        <f>Table112[[#This Row],[M (KN.mm)]]/($AI$3*Table112[[#This Row],[h (mm)]]*$AI$2)</f>
        <v>3.3428571428571426E-4</v>
      </c>
      <c r="P6" s="3">
        <f>Table112[[#This Row],[M (KN.mm)]]/($AI$3*Table112[[#This Row],[d (mm)]]*$AI$2)</f>
        <v>4.3333333333333331E-4</v>
      </c>
      <c r="Q6" s="3">
        <f>Table112[[#This Row],[M (KN.mm)]]/($AI$3*Table112[[#This Row],[h (mm)]]*$AI$2*$AI$4)</f>
        <v>1.064604185623294E-5</v>
      </c>
      <c r="R6" s="3">
        <f>Table112[[#This Row],[M (KN.mm)]]/($AI$3*Table112[[#This Row],[h (mm)]]*($AI$2-Table112[[#This Row],[a (mm)]]))</f>
        <v>4.8588039867109636E-4</v>
      </c>
      <c r="S6" s="3">
        <f>Table112[[#This Row],[M (KN.mm)]]/(Table112[[#This Row],[a (mm)]]*$AI$3*Table112[[#This Row],[h (mm)]]*($AI$2-Table112[[#This Row],[a (mm)]]))</f>
        <v>1.2458471760797342E-6</v>
      </c>
      <c r="T6" s="3">
        <f>Table112[[#This Row],[M (KN.mm)]]/(Table112[[#This Row],[a (mm)]]^2*$AI$3*Table112[[#This Row],[h (mm)]])</f>
        <v>2.7472527472527472E-6</v>
      </c>
      <c r="U6" s="3">
        <f>Table112[[#This Row],[M (KN.mm)]]/($AI$3*Table112[[#This Row],[d (mm)]]*Table112[[#This Row],[pho (%)]])</f>
        <v>0.34914256157243467</v>
      </c>
      <c r="V6" s="3">
        <f>E6*224.8/(2*SQRT($AI$4*145.037)*$AI$3*Table112[[#This Row],[d (mm)]]*(1/25.4)^2)</f>
        <v>1.4924404797122941</v>
      </c>
      <c r="W6" s="3">
        <f>Table112[[#This Row],[M (KN.mm)]]/$G$7</f>
        <v>0.88235294117647056</v>
      </c>
      <c r="X6" s="3">
        <f t="shared" si="6"/>
        <v>1.4924404797122941</v>
      </c>
      <c r="Y6" s="3">
        <v>390</v>
      </c>
      <c r="Z6" s="3">
        <v>81</v>
      </c>
      <c r="AA6" s="3">
        <v>105</v>
      </c>
      <c r="AB6" s="3">
        <v>251.33</v>
      </c>
      <c r="AC6" s="3">
        <f t="shared" si="9"/>
        <v>1.5514197530864198</v>
      </c>
      <c r="AD6" s="3">
        <v>625</v>
      </c>
      <c r="AE6" s="3">
        <f t="shared" si="7"/>
        <v>482343644.0959937</v>
      </c>
      <c r="AF6" s="63">
        <f t="shared" si="8"/>
        <v>120585937.5</v>
      </c>
      <c r="AH6" s="14" t="s">
        <v>16</v>
      </c>
      <c r="AI6" s="14">
        <f>AI5/(2*(1+0.15))</f>
        <v>11450.774071786596</v>
      </c>
    </row>
    <row r="7" spans="1:37" x14ac:dyDescent="0.25">
      <c r="A7" s="197" t="s">
        <v>2</v>
      </c>
      <c r="B7" s="198">
        <v>9</v>
      </c>
      <c r="C7" s="3">
        <v>4</v>
      </c>
      <c r="D7" s="3">
        <f>Table112[[#This Row],[a (mm)]]/Table112[[#This Row],[d (mm)]]</f>
        <v>4.8148148148148149</v>
      </c>
      <c r="E7" s="3">
        <v>25.5</v>
      </c>
      <c r="F7" s="3">
        <f>Table112[[#This Row],[d (mm)]]</f>
        <v>81</v>
      </c>
      <c r="G7" s="3">
        <f t="shared" si="0"/>
        <v>9945</v>
      </c>
      <c r="H7" s="3">
        <f t="shared" si="1"/>
        <v>3.1314497088739043E-6</v>
      </c>
      <c r="I7" s="103">
        <f t="shared" si="2"/>
        <v>1.2126200274348423E-3</v>
      </c>
      <c r="J7" s="3">
        <f t="shared" si="3"/>
        <v>0.78161956170948321</v>
      </c>
      <c r="K7" s="3">
        <f t="shared" si="4"/>
        <v>1.6836583642561794E-6</v>
      </c>
      <c r="L7" s="3">
        <f t="shared" si="5"/>
        <v>1.5740740740740741E-3</v>
      </c>
      <c r="M7" s="3">
        <f>Table112[[#This Row],[M (KN.mm)]]/($AI$3*Table112[[#This Row],[d (mm)]])</f>
        <v>0.61388888888888893</v>
      </c>
      <c r="N7" s="3">
        <f>Table112[[#This Row],[M (KN.mm)]]/($AI$3*Table112[[#This Row],[h (mm)]])</f>
        <v>0.47357142857142859</v>
      </c>
      <c r="O7" s="3">
        <f>Table112[[#This Row],[M (KN.mm)]]/($AI$3*Table112[[#This Row],[h (mm)]]*$AI$2)</f>
        <v>3.7885714285714286E-4</v>
      </c>
      <c r="P7" s="3">
        <f>Table112[[#This Row],[M (KN.mm)]]/($AI$3*Table112[[#This Row],[d (mm)]]*$AI$2)</f>
        <v>4.9111111111111111E-4</v>
      </c>
      <c r="Q7" s="3">
        <f>Table112[[#This Row],[M (KN.mm)]]/($AI$3*Table112[[#This Row],[h (mm)]]*$AI$2*$AI$4)</f>
        <v>1.2065514103730665E-5</v>
      </c>
      <c r="R7" s="3">
        <f>Table112[[#This Row],[M (KN.mm)]]/($AI$3*Table112[[#This Row],[h (mm)]]*($AI$2-Table112[[#This Row],[a (mm)]]))</f>
        <v>5.5066445182724248E-4</v>
      </c>
      <c r="S7" s="3">
        <f>Table112[[#This Row],[M (KN.mm)]]/(Table112[[#This Row],[a (mm)]]*$AI$3*Table112[[#This Row],[h (mm)]]*($AI$2-Table112[[#This Row],[a (mm)]]))</f>
        <v>1.4119601328903655E-6</v>
      </c>
      <c r="T7" s="3">
        <f>Table112[[#This Row],[M (KN.mm)]]/(Table112[[#This Row],[a (mm)]]^2*$AI$3*Table112[[#This Row],[h (mm)]])</f>
        <v>3.1135531135531136E-6</v>
      </c>
      <c r="U7" s="3">
        <f>Table112[[#This Row],[M (KN.mm)]]/($AI$3*Table112[[#This Row],[d (mm)]]*Table112[[#This Row],[pho (%)]])</f>
        <v>0.39569490311542593</v>
      </c>
      <c r="V7" s="3">
        <f>E7*224.8/(2*SQRT($AI$4*145.037)*$AI$3*Table112[[#This Row],[d (mm)]]*(1/25.4)^2)</f>
        <v>1.6914325436739335</v>
      </c>
      <c r="W7" s="3">
        <f>Table112[[#This Row],[M (KN.mm)]]/$G$7</f>
        <v>1</v>
      </c>
      <c r="X7" s="3">
        <f t="shared" si="6"/>
        <v>1.6914325436739335</v>
      </c>
      <c r="Y7" s="3">
        <v>390</v>
      </c>
      <c r="Z7" s="3">
        <v>81</v>
      </c>
      <c r="AA7" s="3">
        <v>105</v>
      </c>
      <c r="AB7" s="3">
        <v>251.33</v>
      </c>
      <c r="AC7" s="3">
        <f t="shared" si="9"/>
        <v>1.5514197530864198</v>
      </c>
      <c r="AD7" s="3">
        <v>625</v>
      </c>
      <c r="AE7" s="3">
        <f t="shared" si="7"/>
        <v>482343644.0959937</v>
      </c>
      <c r="AF7" s="63">
        <f t="shared" si="8"/>
        <v>120585937.5</v>
      </c>
    </row>
    <row r="8" spans="1:37" x14ac:dyDescent="0.25">
      <c r="A8" s="197" t="s">
        <v>2</v>
      </c>
      <c r="B8" s="198">
        <v>10</v>
      </c>
      <c r="C8" s="3">
        <v>2</v>
      </c>
      <c r="D8" s="3">
        <f>Table112[[#This Row],[a (mm)]]/Table112[[#This Row],[d (mm)]]</f>
        <v>4.8148148148148149</v>
      </c>
      <c r="E8" s="13">
        <f>0.8*E9</f>
        <v>18</v>
      </c>
      <c r="F8" s="3">
        <f>Table112[[#This Row],[d (mm)]]</f>
        <v>81</v>
      </c>
      <c r="G8" s="3">
        <f t="shared" si="0"/>
        <v>7020</v>
      </c>
      <c r="H8" s="3">
        <f t="shared" si="1"/>
        <v>2.2104350886168736E-6</v>
      </c>
      <c r="I8" s="3">
        <f t="shared" si="2"/>
        <v>8.5596707818930042E-4</v>
      </c>
      <c r="J8" s="3">
        <f t="shared" si="3"/>
        <v>0.55173145532434109</v>
      </c>
      <c r="K8" s="3">
        <f t="shared" si="4"/>
        <v>1.1884647277102443E-6</v>
      </c>
      <c r="L8" s="3">
        <f t="shared" si="5"/>
        <v>1.1111111111111111E-3</v>
      </c>
      <c r="M8" s="3">
        <f>Table112[[#This Row],[M (KN.mm)]]/($AI$3*Table112[[#This Row],[d (mm)]])</f>
        <v>0.43333333333333335</v>
      </c>
      <c r="N8" s="3">
        <f>Table112[[#This Row],[M (KN.mm)]]/($AI$3*Table112[[#This Row],[h (mm)]])</f>
        <v>0.3342857142857143</v>
      </c>
      <c r="O8" s="3">
        <f>Table112[[#This Row],[M (KN.mm)]]/($AI$3*Table112[[#This Row],[h (mm)]]*$AI$2)</f>
        <v>2.6742857142857145E-4</v>
      </c>
      <c r="P8" s="3">
        <f>Table112[[#This Row],[M (KN.mm)]]/($AI$3*Table112[[#This Row],[d (mm)]]*$AI$2)</f>
        <v>3.4666666666666667E-4</v>
      </c>
      <c r="Q8" s="3">
        <f>Table112[[#This Row],[M (KN.mm)]]/($AI$3*Table112[[#This Row],[h (mm)]]*$AI$2*$AI$4)</f>
        <v>8.5168334849863506E-6</v>
      </c>
      <c r="R8" s="3">
        <f>Table112[[#This Row],[M (KN.mm)]]/($AI$3*Table112[[#This Row],[h (mm)]]*($AI$2-Table112[[#This Row],[a (mm)]]))</f>
        <v>3.887043189368771E-4</v>
      </c>
      <c r="S8" s="3">
        <f>Table112[[#This Row],[M (KN.mm)]]/(Table112[[#This Row],[a (mm)]]*$AI$3*Table112[[#This Row],[h (mm)]]*($AI$2-Table112[[#This Row],[a (mm)]]))</f>
        <v>9.9667774086378732E-7</v>
      </c>
      <c r="T8" s="3">
        <f>Table112[[#This Row],[M (KN.mm)]]/(Table112[[#This Row],[a (mm)]]^2*$AI$3*Table112[[#This Row],[h (mm)]])</f>
        <v>2.197802197802198E-6</v>
      </c>
      <c r="U8" s="3">
        <f>Table112[[#This Row],[M (KN.mm)]]/($AI$3*Table112[[#This Row],[d (mm)]]*Table112[[#This Row],[pho (%)]])</f>
        <v>0.27931404925794773</v>
      </c>
      <c r="V8" s="3">
        <f>E8*224.8/(2*SQRT($AI$4*145.037)*$AI$3*Table112[[#This Row],[d (mm)]]*(1/25.4)^2)</f>
        <v>1.1939523837698354</v>
      </c>
      <c r="W8" s="3">
        <f>Table112[[#This Row],[M (KN.mm)]]/$G$7</f>
        <v>0.70588235294117652</v>
      </c>
      <c r="X8" s="3">
        <f t="shared" si="6"/>
        <v>1.1939523837698354</v>
      </c>
      <c r="Y8" s="3">
        <v>390</v>
      </c>
      <c r="Z8" s="3">
        <v>81</v>
      </c>
      <c r="AA8" s="3">
        <v>105</v>
      </c>
      <c r="AB8" s="3">
        <v>251.33</v>
      </c>
      <c r="AC8" s="3">
        <f t="shared" si="9"/>
        <v>1.5514197530864198</v>
      </c>
      <c r="AD8" s="3">
        <v>625</v>
      </c>
      <c r="AE8" s="3">
        <f t="shared" si="7"/>
        <v>482343644.0959937</v>
      </c>
      <c r="AF8" s="63">
        <f t="shared" si="8"/>
        <v>120585937.5</v>
      </c>
    </row>
    <row r="9" spans="1:37" x14ac:dyDescent="0.25">
      <c r="A9" s="199" t="s">
        <v>30</v>
      </c>
      <c r="B9" s="200">
        <v>12</v>
      </c>
      <c r="C9" s="13">
        <v>2</v>
      </c>
      <c r="D9" s="3">
        <f>Table112[[#This Row],[a (mm)]]/Table112[[#This Row],[d (mm)]]</f>
        <v>3.6792452830188678</v>
      </c>
      <c r="E9" s="3">
        <v>22.5</v>
      </c>
      <c r="F9" s="3">
        <f>Table112[[#This Row],[d (mm)]]</f>
        <v>106</v>
      </c>
      <c r="G9" s="3">
        <f t="shared" si="0"/>
        <v>8775</v>
      </c>
      <c r="H9" s="3">
        <f t="shared" si="1"/>
        <v>1.4227932273760876E-6</v>
      </c>
      <c r="I9" s="3">
        <f t="shared" si="2"/>
        <v>6.2477750088999644E-4</v>
      </c>
      <c r="J9" s="3">
        <f t="shared" si="3"/>
        <v>0.39726506399297223</v>
      </c>
      <c r="K9" s="3">
        <f t="shared" si="4"/>
        <v>7.6498076114782024E-7</v>
      </c>
      <c r="L9" s="3">
        <f t="shared" si="5"/>
        <v>1.0613207547169811E-3</v>
      </c>
      <c r="M9" s="3">
        <f>Table112[[#This Row],[M (KN.mm)]]/($AI$3*Table112[[#This Row],[d (mm)]])</f>
        <v>0.41391509433962265</v>
      </c>
      <c r="N9" s="3">
        <f>Table112[[#This Row],[M (KN.mm)]]/($AI$3*Table112[[#This Row],[h (mm)]])</f>
        <v>0.33492366412213742</v>
      </c>
      <c r="O9" s="3">
        <f>Table112[[#This Row],[M (KN.mm)]]/($AI$3*Table112[[#This Row],[h (mm)]]*$AI$2)</f>
        <v>2.6793893129770991E-4</v>
      </c>
      <c r="P9" s="3">
        <f>Table112[[#This Row],[M (KN.mm)]]/($AI$3*Table112[[#This Row],[d (mm)]]*$AI$2)</f>
        <v>3.3113207547169811E-4</v>
      </c>
      <c r="Q9" s="3">
        <f>Table112[[#This Row],[M (KN.mm)]]/($AI$3*Table112[[#This Row],[h (mm)]]*$AI$2*$AI$4)</f>
        <v>8.5330869840035007E-6</v>
      </c>
      <c r="R9" s="3">
        <f>Table112[[#This Row],[M (KN.mm)]]/($AI$3*Table112[[#This Row],[h (mm)]]*($AI$2-Table112[[#This Row],[a (mm)]]))</f>
        <v>3.8944612107225281E-4</v>
      </c>
      <c r="S9" s="3">
        <f>Table112[[#This Row],[M (KN.mm)]]/(Table112[[#This Row],[a (mm)]]*$AI$3*Table112[[#This Row],[h (mm)]]*($AI$2-Table112[[#This Row],[a (mm)]]))</f>
        <v>9.9857979762116096E-7</v>
      </c>
      <c r="T9" s="3">
        <f>Table112[[#This Row],[M (KN.mm)]]/(Table112[[#This Row],[a (mm)]]^2*$AI$3*Table112[[#This Row],[h (mm)]])</f>
        <v>2.2019964768056369E-6</v>
      </c>
      <c r="U9" s="3">
        <f>Table112[[#This Row],[M (KN.mm)]]/($AI$3*Table112[[#This Row],[d (mm)]]*Table112[[#This Row],[pho (%)]])</f>
        <v>0.27931627196333075</v>
      </c>
      <c r="V9" s="3">
        <f>E9*224.8/(2*SQRT($AI$4*145.037)*$AI$3*Table112[[#This Row],[d (mm)]]*(1/25.4)^2)</f>
        <v>1.1404498005348664</v>
      </c>
      <c r="W9" s="3">
        <f>Table112[[#This Row],[M (KN.mm)]]/$G$10</f>
        <v>0.66587747854394785</v>
      </c>
      <c r="X9" s="3">
        <f t="shared" si="6"/>
        <v>1.1404498005348664</v>
      </c>
      <c r="Y9" s="3">
        <v>390</v>
      </c>
      <c r="Z9" s="3">
        <v>106</v>
      </c>
      <c r="AA9" s="3">
        <v>131</v>
      </c>
      <c r="AB9" s="3">
        <v>314.16000000000003</v>
      </c>
      <c r="AC9" s="3">
        <f t="shared" si="9"/>
        <v>1.4818867924528303</v>
      </c>
      <c r="AD9" s="3">
        <v>663.3</v>
      </c>
      <c r="AE9" s="3">
        <f t="shared" si="7"/>
        <v>936703961.65123475</v>
      </c>
      <c r="AF9" s="63">
        <f t="shared" si="8"/>
        <v>234176145.83333334</v>
      </c>
    </row>
    <row r="10" spans="1:37" x14ac:dyDescent="0.25">
      <c r="A10" s="199" t="s">
        <v>30</v>
      </c>
      <c r="B10" s="200">
        <v>13</v>
      </c>
      <c r="C10" s="13">
        <v>3</v>
      </c>
      <c r="D10" s="3">
        <f>Table112[[#This Row],[a (mm)]]/Table112[[#This Row],[d (mm)]]</f>
        <v>3.6792452830188678</v>
      </c>
      <c r="E10" s="3">
        <v>33.79</v>
      </c>
      <c r="F10" s="3">
        <f>Table112[[#This Row],[d (mm)]]</f>
        <v>106</v>
      </c>
      <c r="G10" s="3">
        <f t="shared" si="0"/>
        <v>13178.1</v>
      </c>
      <c r="H10" s="3">
        <f t="shared" si="1"/>
        <v>2.1367192512461332E-6</v>
      </c>
      <c r="I10" s="3">
        <f t="shared" si="2"/>
        <v>9.3827696689213248E-4</v>
      </c>
      <c r="J10" s="3">
        <f t="shared" si="3"/>
        <v>0.5966038449921125</v>
      </c>
      <c r="K10" s="3">
        <f t="shared" si="4"/>
        <v>1.1488311075193265E-6</v>
      </c>
      <c r="L10" s="3">
        <f t="shared" si="5"/>
        <v>1.5938679245283019E-3</v>
      </c>
      <c r="M10" s="3">
        <f>Table112[[#This Row],[M (KN.mm)]]/($AI$3*Table112[[#This Row],[d (mm)]])</f>
        <v>0.62160849056603773</v>
      </c>
      <c r="N10" s="3">
        <f>Table112[[#This Row],[M (KN.mm)]]/($AI$3*Table112[[#This Row],[h (mm)]])</f>
        <v>0.50298091603053441</v>
      </c>
      <c r="O10" s="3">
        <f>Table112[[#This Row],[M (KN.mm)]]/($AI$3*Table112[[#This Row],[h (mm)]]*$AI$2)</f>
        <v>4.0238473282442749E-4</v>
      </c>
      <c r="P10" s="3">
        <f>Table112[[#This Row],[M (KN.mm)]]/($AI$3*Table112[[#This Row],[d (mm)]]*$AI$2)</f>
        <v>4.9728679245283024E-4</v>
      </c>
      <c r="Q10" s="3">
        <f>Table112[[#This Row],[M (KN.mm)]]/($AI$3*Table112[[#This Row],[h (mm)]]*$AI$2*$AI$4)</f>
        <v>1.2814800408421257E-5</v>
      </c>
      <c r="R10" s="3">
        <f>Table112[[#This Row],[M (KN.mm)]]/($AI$3*Table112[[#This Row],[h (mm)]]*($AI$2-Table112[[#This Row],[a (mm)]]))</f>
        <v>5.8486153026806318E-4</v>
      </c>
      <c r="S10" s="3">
        <f>Table112[[#This Row],[M (KN.mm)]]/(Table112[[#This Row],[a (mm)]]*$AI$3*Table112[[#This Row],[h (mm)]]*($AI$2-Table112[[#This Row],[a (mm)]]))</f>
        <v>1.4996449494052903E-6</v>
      </c>
      <c r="T10" s="3">
        <f>Table112[[#This Row],[M (KN.mm)]]/(Table112[[#This Row],[a (mm)]]^2*$AI$3*Table112[[#This Row],[h (mm)]])</f>
        <v>3.3069093756116656E-6</v>
      </c>
      <c r="U10" s="3">
        <f>Table112[[#This Row],[M (KN.mm)]]/($AI$3*Table112[[#This Row],[d (mm)]]*Table112[[#This Row],[pho (%)]])</f>
        <v>0.41947097020626428</v>
      </c>
      <c r="V10" s="3">
        <f>E10*224.8/(2*SQRT($AI$4*145.037)*$AI$3*Table112[[#This Row],[d (mm)]]*(1/25.4)^2)</f>
        <v>1.7127021671143616</v>
      </c>
      <c r="W10" s="3">
        <f>Table112[[#This Row],[M (KN.mm)]]/$G$10</f>
        <v>1</v>
      </c>
      <c r="X10" s="3">
        <f t="shared" si="6"/>
        <v>1.7127021671143616</v>
      </c>
      <c r="Y10" s="3">
        <v>390</v>
      </c>
      <c r="Z10" s="3">
        <v>106</v>
      </c>
      <c r="AA10" s="3">
        <v>131</v>
      </c>
      <c r="AB10" s="3">
        <v>314.16000000000003</v>
      </c>
      <c r="AC10" s="3">
        <f t="shared" si="9"/>
        <v>1.4818867924528303</v>
      </c>
      <c r="AD10" s="3">
        <v>663.3</v>
      </c>
      <c r="AE10" s="3">
        <f t="shared" si="7"/>
        <v>936703961.65123475</v>
      </c>
      <c r="AF10" s="63">
        <f t="shared" si="8"/>
        <v>234176145.83333334</v>
      </c>
    </row>
    <row r="11" spans="1:37" x14ac:dyDescent="0.25">
      <c r="A11" s="201" t="s">
        <v>31</v>
      </c>
      <c r="B11" s="202">
        <v>14</v>
      </c>
      <c r="C11" s="3">
        <v>2</v>
      </c>
      <c r="D11" s="3">
        <f>Table112[[#This Row],[a (mm)]]/Table112[[#This Row],[d (mm)]]</f>
        <v>3.6792452830188678</v>
      </c>
      <c r="E11" s="3">
        <v>27.5</v>
      </c>
      <c r="F11" s="3">
        <f>Table112[[#This Row],[d (mm)]]</f>
        <v>106</v>
      </c>
      <c r="G11" s="3">
        <f t="shared" si="0"/>
        <v>10725</v>
      </c>
      <c r="H11" s="3">
        <f t="shared" si="1"/>
        <v>1.7389695001263291E-6</v>
      </c>
      <c r="I11" s="3">
        <f t="shared" si="2"/>
        <v>7.636169455322179E-4</v>
      </c>
      <c r="J11" s="3">
        <f t="shared" si="3"/>
        <v>0.48554618932474386</v>
      </c>
      <c r="K11" s="3">
        <f t="shared" si="4"/>
        <v>9.3497648584733585E-7</v>
      </c>
      <c r="L11" s="3">
        <f t="shared" si="5"/>
        <v>1.2971698113207546E-3</v>
      </c>
      <c r="M11" s="3">
        <f>Table112[[#This Row],[M (KN.mm)]]/($AI$3*Table112[[#This Row],[d (mm)]])</f>
        <v>0.50589622641509435</v>
      </c>
      <c r="N11" s="3">
        <f>Table112[[#This Row],[M (KN.mm)]]/($AI$3*Table112[[#This Row],[h (mm)]])</f>
        <v>0.40935114503816794</v>
      </c>
      <c r="O11" s="3">
        <f>Table112[[#This Row],[M (KN.mm)]]/($AI$3*Table112[[#This Row],[h (mm)]]*$AI$2)</f>
        <v>3.2748091603053436E-4</v>
      </c>
      <c r="P11" s="3">
        <f>Table112[[#This Row],[M (KN.mm)]]/($AI$3*Table112[[#This Row],[d (mm)]]*$AI$2)</f>
        <v>4.0471698113207549E-4</v>
      </c>
      <c r="Q11" s="3">
        <f>Table112[[#This Row],[M (KN.mm)]]/($AI$3*Table112[[#This Row],[h (mm)]]*$AI$2*$AI$4)</f>
        <v>1.0429328536004279E-5</v>
      </c>
      <c r="R11" s="3">
        <f>Table112[[#This Row],[M (KN.mm)]]/($AI$3*Table112[[#This Row],[h (mm)]]*($AI$2-Table112[[#This Row],[a (mm)]]))</f>
        <v>4.7598970353275344E-4</v>
      </c>
      <c r="S11" s="3">
        <f>Table112[[#This Row],[M (KN.mm)]]/(Table112[[#This Row],[a (mm)]]*$AI$3*Table112[[#This Row],[h (mm)]]*($AI$2-Table112[[#This Row],[a (mm)]]))</f>
        <v>1.2204864193147523E-6</v>
      </c>
      <c r="T11" s="3">
        <f>Table112[[#This Row],[M (KN.mm)]]/(Table112[[#This Row],[a (mm)]]^2*$AI$3*Table112[[#This Row],[h (mm)]])</f>
        <v>2.6913290272068898E-6</v>
      </c>
      <c r="U11" s="3">
        <f>Table112[[#This Row],[M (KN.mm)]]/($AI$3*Table112[[#This Row],[d (mm)]]*Table112[[#This Row],[pho (%)]])</f>
        <v>0.34138655462184869</v>
      </c>
      <c r="V11" s="3">
        <f>E11*224.8/(2*SQRT($AI$4*145.037)*$AI$3*Table112[[#This Row],[d (mm)]]*(1/25.4)^2)</f>
        <v>1.3938830895426144</v>
      </c>
      <c r="W11" s="3">
        <f>Table112[[#This Row],[M (KN.mm)]]/$G$13</f>
        <v>0.80882352941176472</v>
      </c>
      <c r="X11" s="3">
        <f t="shared" si="6"/>
        <v>1.3938830895426144</v>
      </c>
      <c r="Y11" s="3">
        <v>390</v>
      </c>
      <c r="Z11" s="3">
        <v>106</v>
      </c>
      <c r="AA11" s="3">
        <v>131</v>
      </c>
      <c r="AB11" s="3">
        <v>314.16000000000003</v>
      </c>
      <c r="AC11" s="3">
        <f t="shared" si="9"/>
        <v>1.4818867924528303</v>
      </c>
      <c r="AD11" s="3">
        <v>663.3</v>
      </c>
      <c r="AE11" s="3">
        <f t="shared" si="7"/>
        <v>936703961.65123475</v>
      </c>
      <c r="AF11" s="63">
        <f t="shared" si="8"/>
        <v>234176145.83333334</v>
      </c>
    </row>
    <row r="12" spans="1:37" x14ac:dyDescent="0.25">
      <c r="A12" s="201" t="s">
        <v>31</v>
      </c>
      <c r="B12" s="202">
        <v>15</v>
      </c>
      <c r="C12" s="3">
        <v>4</v>
      </c>
      <c r="D12" s="3">
        <f>Table112[[#This Row],[a (mm)]]/Table112[[#This Row],[d (mm)]]</f>
        <v>3.6792452830188678</v>
      </c>
      <c r="E12" s="13">
        <v>28.5</v>
      </c>
      <c r="F12" s="3">
        <f>Table112[[#This Row],[d (mm)]]</f>
        <v>106</v>
      </c>
      <c r="G12" s="3">
        <f t="shared" si="0"/>
        <v>11115</v>
      </c>
      <c r="H12" s="3">
        <f t="shared" si="1"/>
        <v>1.8022047546763776E-6</v>
      </c>
      <c r="I12" s="3">
        <f t="shared" si="2"/>
        <v>7.9138483446066215E-4</v>
      </c>
      <c r="J12" s="3">
        <f t="shared" si="3"/>
        <v>0.50320241439109814</v>
      </c>
      <c r="K12" s="3">
        <f t="shared" si="4"/>
        <v>9.6897563078723884E-7</v>
      </c>
      <c r="L12" s="3">
        <f t="shared" si="5"/>
        <v>1.3443396226415095E-3</v>
      </c>
      <c r="M12" s="3">
        <f>Table112[[#This Row],[M (KN.mm)]]/($AI$3*Table112[[#This Row],[d (mm)]])</f>
        <v>0.52429245283018866</v>
      </c>
      <c r="N12" s="3">
        <f>Table112[[#This Row],[M (KN.mm)]]/($AI$3*Table112[[#This Row],[h (mm)]])</f>
        <v>0.42423664122137406</v>
      </c>
      <c r="O12" s="3">
        <f>Table112[[#This Row],[M (KN.mm)]]/($AI$3*Table112[[#This Row],[h (mm)]]*$AI$2)</f>
        <v>3.3938931297709926E-4</v>
      </c>
      <c r="P12" s="3">
        <f>Table112[[#This Row],[M (KN.mm)]]/($AI$3*Table112[[#This Row],[d (mm)]]*$AI$2)</f>
        <v>4.1943396226415094E-4</v>
      </c>
      <c r="Q12" s="3">
        <f>Table112[[#This Row],[M (KN.mm)]]/($AI$3*Table112[[#This Row],[h (mm)]]*$AI$2*$AI$4)</f>
        <v>1.0808576846404435E-5</v>
      </c>
      <c r="R12" s="3">
        <f>Table112[[#This Row],[M (KN.mm)]]/($AI$3*Table112[[#This Row],[h (mm)]]*($AI$2-Table112[[#This Row],[a (mm)]]))</f>
        <v>4.9329842002485353E-4</v>
      </c>
      <c r="S12" s="3">
        <f>Table112[[#This Row],[M (KN.mm)]]/(Table112[[#This Row],[a (mm)]]*$AI$3*Table112[[#This Row],[h (mm)]]*($AI$2-Table112[[#This Row],[a (mm)]]))</f>
        <v>1.2648677436534706E-6</v>
      </c>
      <c r="T12" s="3">
        <f>Table112[[#This Row],[M (KN.mm)]]/(Table112[[#This Row],[a (mm)]]^2*$AI$3*Table112[[#This Row],[h (mm)]])</f>
        <v>2.7891955372871405E-6</v>
      </c>
      <c r="U12" s="3">
        <f>Table112[[#This Row],[M (KN.mm)]]/($AI$3*Table112[[#This Row],[d (mm)]]*Table112[[#This Row],[pho (%)]])</f>
        <v>0.35380061115355227</v>
      </c>
      <c r="V12" s="3">
        <f>E12*224.8/(2*SQRT($AI$4*145.037)*$AI$3*Table112[[#This Row],[d (mm)]]*(1/25.4)^2)</f>
        <v>1.4445697473441641</v>
      </c>
      <c r="W12" s="3">
        <f>Table112[[#This Row],[M (KN.mm)]]/$G$13</f>
        <v>0.83823529411764708</v>
      </c>
      <c r="X12" s="3">
        <f t="shared" si="6"/>
        <v>1.4445697473441641</v>
      </c>
      <c r="Y12" s="3">
        <v>390</v>
      </c>
      <c r="Z12" s="3">
        <v>106</v>
      </c>
      <c r="AA12" s="3">
        <v>131</v>
      </c>
      <c r="AB12" s="3">
        <v>314.16000000000003</v>
      </c>
      <c r="AC12" s="3">
        <f t="shared" si="9"/>
        <v>1.4818867924528303</v>
      </c>
      <c r="AD12" s="3">
        <v>663.3</v>
      </c>
      <c r="AE12" s="3">
        <f t="shared" si="7"/>
        <v>936703961.65123475</v>
      </c>
      <c r="AF12" s="63">
        <f t="shared" si="8"/>
        <v>234176145.83333334</v>
      </c>
    </row>
    <row r="13" spans="1:37" x14ac:dyDescent="0.25">
      <c r="A13" s="201" t="s">
        <v>31</v>
      </c>
      <c r="B13" s="202">
        <v>16</v>
      </c>
      <c r="C13" s="3">
        <v>5</v>
      </c>
      <c r="D13" s="3">
        <f>Table112[[#This Row],[a (mm)]]/Table112[[#This Row],[d (mm)]]</f>
        <v>3.6792452830188678</v>
      </c>
      <c r="E13" s="3">
        <v>34</v>
      </c>
      <c r="F13" s="3">
        <f>Table112[[#This Row],[d (mm)]]</f>
        <v>106</v>
      </c>
      <c r="G13" s="3">
        <f t="shared" si="0"/>
        <v>13260</v>
      </c>
      <c r="H13" s="3">
        <f t="shared" si="1"/>
        <v>2.1499986547016433E-6</v>
      </c>
      <c r="I13" s="103">
        <f t="shared" si="2"/>
        <v>9.4410822356710573E-4</v>
      </c>
      <c r="J13" s="3">
        <f t="shared" si="3"/>
        <v>0.60031165225604688</v>
      </c>
      <c r="K13" s="3">
        <f t="shared" si="4"/>
        <v>1.1559709279567061E-6</v>
      </c>
      <c r="L13" s="3">
        <f t="shared" si="5"/>
        <v>1.6037735849056603E-3</v>
      </c>
      <c r="M13" s="3">
        <f>Table112[[#This Row],[M (KN.mm)]]/($AI$3*Table112[[#This Row],[d (mm)]])</f>
        <v>0.62547169811320757</v>
      </c>
      <c r="N13" s="3">
        <f>Table112[[#This Row],[M (KN.mm)]]/($AI$3*Table112[[#This Row],[h (mm)]])</f>
        <v>0.50610687022900769</v>
      </c>
      <c r="O13" s="3">
        <f>Table112[[#This Row],[M (KN.mm)]]/($AI$3*Table112[[#This Row],[h (mm)]]*$AI$2)</f>
        <v>4.0488549618320613E-4</v>
      </c>
      <c r="P13" s="3">
        <f>Table112[[#This Row],[M (KN.mm)]]/($AI$3*Table112[[#This Row],[d (mm)]]*$AI$2)</f>
        <v>5.0037735849056599E-4</v>
      </c>
      <c r="Q13" s="3">
        <f>Table112[[#This Row],[M (KN.mm)]]/($AI$3*Table112[[#This Row],[h (mm)]]*$AI$2*$AI$4)</f>
        <v>1.2894442553605291E-5</v>
      </c>
      <c r="R13" s="3">
        <f>Table112[[#This Row],[M (KN.mm)]]/($AI$3*Table112[[#This Row],[h (mm)]]*($AI$2-Table112[[#This Row],[a (mm)]]))</f>
        <v>5.8849636073140426E-4</v>
      </c>
      <c r="S13" s="3">
        <f>Table112[[#This Row],[M (KN.mm)]]/(Table112[[#This Row],[a (mm)]]*$AI$3*Table112[[#This Row],[h (mm)]]*($AI$2-Table112[[#This Row],[a (mm)]]))</f>
        <v>1.5089650275164211E-6</v>
      </c>
      <c r="T13" s="3">
        <f>Table112[[#This Row],[M (KN.mm)]]/(Table112[[#This Row],[a (mm)]]^2*$AI$3*Table112[[#This Row],[h (mm)]])</f>
        <v>3.3274613427285183E-6</v>
      </c>
      <c r="U13" s="3">
        <f>Table112[[#This Row],[M (KN.mm)]]/($AI$3*Table112[[#This Row],[d (mm)]]*Table112[[#This Row],[pho (%)]])</f>
        <v>0.42207792207792205</v>
      </c>
      <c r="V13" s="3">
        <f>E13*224.8/(2*SQRT($AI$4*145.037)*$AI$3*Table112[[#This Row],[d (mm)]]*(1/25.4)^2)</f>
        <v>1.723346365252687</v>
      </c>
      <c r="W13" s="3">
        <f>Table112[[#This Row],[M (KN.mm)]]/$G$13</f>
        <v>1</v>
      </c>
      <c r="X13" s="3">
        <f t="shared" si="6"/>
        <v>1.723346365252687</v>
      </c>
      <c r="Y13" s="3">
        <v>390</v>
      </c>
      <c r="Z13" s="3">
        <v>106</v>
      </c>
      <c r="AA13" s="3">
        <v>131</v>
      </c>
      <c r="AB13" s="3">
        <v>314.16000000000003</v>
      </c>
      <c r="AC13" s="3">
        <f t="shared" si="9"/>
        <v>1.4818867924528303</v>
      </c>
      <c r="AD13" s="3">
        <v>663.3</v>
      </c>
      <c r="AE13" s="3">
        <f t="shared" si="7"/>
        <v>936703961.65123475</v>
      </c>
      <c r="AF13" s="63">
        <f t="shared" si="8"/>
        <v>234176145.83333334</v>
      </c>
    </row>
    <row r="14" spans="1:37" x14ac:dyDescent="0.25">
      <c r="A14" s="203" t="s">
        <v>32</v>
      </c>
      <c r="B14" s="204">
        <v>18</v>
      </c>
      <c r="C14" s="3">
        <v>2</v>
      </c>
      <c r="D14" s="3">
        <f>Table112[[#This Row],[a (mm)]]/Table112[[#This Row],[d (mm)]]</f>
        <v>3.6792452830188678</v>
      </c>
      <c r="E14" s="3">
        <f>47/2</f>
        <v>23.5</v>
      </c>
      <c r="F14" s="3">
        <f>Table112[[#This Row],[d (mm)]]</f>
        <v>106</v>
      </c>
      <c r="G14" s="3">
        <f t="shared" si="0"/>
        <v>9165</v>
      </c>
      <c r="H14" s="3">
        <f t="shared" si="1"/>
        <v>1.4860284819261358E-6</v>
      </c>
      <c r="I14" s="3">
        <f t="shared" si="2"/>
        <v>6.5254538981844069E-4</v>
      </c>
      <c r="J14" s="3">
        <f t="shared" si="3"/>
        <v>0.41492128905932657</v>
      </c>
      <c r="K14" s="3">
        <f t="shared" si="4"/>
        <v>7.9897990608772334E-7</v>
      </c>
      <c r="L14" s="3">
        <f t="shared" si="5"/>
        <v>1.1084905660377359E-3</v>
      </c>
      <c r="M14" s="3">
        <f>Table112[[#This Row],[M (KN.mm)]]/($AI$3*Table112[[#This Row],[d (mm)]])</f>
        <v>0.43231132075471695</v>
      </c>
      <c r="N14" s="3">
        <f>Table112[[#This Row],[M (KN.mm)]]/($AI$3*Table112[[#This Row],[h (mm)]])</f>
        <v>0.34980916030534354</v>
      </c>
      <c r="O14" s="3">
        <f>Table112[[#This Row],[M (KN.mm)]]/($AI$3*Table112[[#This Row],[h (mm)]]*$AI$2)</f>
        <v>2.7984732824427481E-4</v>
      </c>
      <c r="P14" s="3">
        <f>Table112[[#This Row],[M (KN.mm)]]/($AI$3*Table112[[#This Row],[d (mm)]]*$AI$2)</f>
        <v>3.458490566037736E-4</v>
      </c>
      <c r="Q14" s="3">
        <f>Table112[[#This Row],[M (KN.mm)]]/($AI$3*Table112[[#This Row],[h (mm)]]*$AI$2*$AI$4)</f>
        <v>8.9123352944036566E-6</v>
      </c>
      <c r="R14" s="3">
        <f>Table112[[#This Row],[M (KN.mm)]]/($AI$3*Table112[[#This Row],[h (mm)]]*($AI$2-Table112[[#This Row],[a (mm)]]))</f>
        <v>4.0675483756435295E-4</v>
      </c>
      <c r="S14" s="3">
        <f>Table112[[#This Row],[M (KN.mm)]]/(Table112[[#This Row],[a (mm)]]*$AI$3*Table112[[#This Row],[h (mm)]]*($AI$2-Table112[[#This Row],[a (mm)]]))</f>
        <v>1.0429611219598792E-6</v>
      </c>
      <c r="T14" s="3">
        <f>Table112[[#This Row],[M (KN.mm)]]/(Table112[[#This Row],[a (mm)]]^2*$AI$3*Table112[[#This Row],[h (mm)]])</f>
        <v>2.2998629868858876E-6</v>
      </c>
      <c r="U14" s="3">
        <f>Table112[[#This Row],[M (KN.mm)]]/($AI$3*Table112[[#This Row],[d (mm)]]*Table112[[#This Row],[pho (%)]])</f>
        <v>0.29173032849503433</v>
      </c>
      <c r="V14" s="3">
        <f>E14*224.8/(2*SQRT($AI$4*145.037)*$AI$3*Table112[[#This Row],[d (mm)]]*(1/25.4)^2)</f>
        <v>1.1911364583364159</v>
      </c>
      <c r="W14" s="3">
        <f>Table112[[#This Row],[M (KN.mm)]]/$G$16</f>
        <v>0.6619718309859155</v>
      </c>
      <c r="X14" s="3">
        <f t="shared" si="6"/>
        <v>1.1911364583364159</v>
      </c>
      <c r="Y14" s="3">
        <v>390</v>
      </c>
      <c r="Z14" s="3">
        <v>106</v>
      </c>
      <c r="AA14" s="3">
        <v>131</v>
      </c>
      <c r="AB14" s="3">
        <v>314.16000000000003</v>
      </c>
      <c r="AC14" s="3">
        <f t="shared" si="9"/>
        <v>1.4818867924528303</v>
      </c>
      <c r="AD14" s="3">
        <v>663.3</v>
      </c>
      <c r="AE14" s="3">
        <f t="shared" si="7"/>
        <v>936703961.65123475</v>
      </c>
      <c r="AF14" s="63">
        <f t="shared" si="8"/>
        <v>234176145.83333334</v>
      </c>
      <c r="AH14"/>
    </row>
    <row r="15" spans="1:37" x14ac:dyDescent="0.25">
      <c r="A15" s="203" t="s">
        <v>32</v>
      </c>
      <c r="B15" s="204">
        <v>19</v>
      </c>
      <c r="C15" s="3">
        <v>3</v>
      </c>
      <c r="D15" s="3">
        <f>Table112[[#This Row],[a (mm)]]/Table112[[#This Row],[d (mm)]]</f>
        <v>3.6792452830188678</v>
      </c>
      <c r="E15" s="3">
        <f>66/2</f>
        <v>33</v>
      </c>
      <c r="F15" s="3">
        <f>Table112[[#This Row],[d (mm)]]</f>
        <v>106</v>
      </c>
      <c r="G15" s="3">
        <f t="shared" si="0"/>
        <v>12870</v>
      </c>
      <c r="H15" s="3">
        <f t="shared" si="1"/>
        <v>2.0867634001515951E-6</v>
      </c>
      <c r="I15" s="3">
        <f t="shared" si="2"/>
        <v>9.1634033463866148E-4</v>
      </c>
      <c r="J15" s="3">
        <f t="shared" si="3"/>
        <v>0.58265542718969265</v>
      </c>
      <c r="K15" s="3">
        <f t="shared" si="4"/>
        <v>1.1219717830168031E-6</v>
      </c>
      <c r="L15" s="3">
        <f t="shared" si="5"/>
        <v>1.5566037735849057E-3</v>
      </c>
      <c r="M15" s="3">
        <f>Table112[[#This Row],[M (KN.mm)]]/($AI$3*Table112[[#This Row],[d (mm)]])</f>
        <v>0.60707547169811316</v>
      </c>
      <c r="N15" s="3">
        <f>Table112[[#This Row],[M (KN.mm)]]/($AI$3*Table112[[#This Row],[h (mm)]])</f>
        <v>0.49122137404580152</v>
      </c>
      <c r="O15" s="3">
        <f>Table112[[#This Row],[M (KN.mm)]]/($AI$3*Table112[[#This Row],[h (mm)]]*$AI$2)</f>
        <v>3.9297709923664123E-4</v>
      </c>
      <c r="P15" s="3">
        <f>Table112[[#This Row],[M (KN.mm)]]/($AI$3*Table112[[#This Row],[d (mm)]]*$AI$2)</f>
        <v>4.8566037735849055E-4</v>
      </c>
      <c r="Q15" s="3">
        <f>Table112[[#This Row],[M (KN.mm)]]/($AI$3*Table112[[#This Row],[h (mm)]]*$AI$2*$AI$4)</f>
        <v>1.2515194243205135E-5</v>
      </c>
      <c r="R15" s="3">
        <f>Table112[[#This Row],[M (KN.mm)]]/($AI$3*Table112[[#This Row],[h (mm)]]*($AI$2-Table112[[#This Row],[a (mm)]]))</f>
        <v>5.7118764423930407E-4</v>
      </c>
      <c r="S15" s="3">
        <f>Table112[[#This Row],[M (KN.mm)]]/(Table112[[#This Row],[a (mm)]]*$AI$3*Table112[[#This Row],[h (mm)]]*($AI$2-Table112[[#This Row],[a (mm)]]))</f>
        <v>1.4645837031777028E-6</v>
      </c>
      <c r="T15" s="3">
        <f>Table112[[#This Row],[M (KN.mm)]]/(Table112[[#This Row],[a (mm)]]^2*$AI$3*Table112[[#This Row],[h (mm)]])</f>
        <v>3.2295948326482676E-6</v>
      </c>
      <c r="U15" s="3">
        <f>Table112[[#This Row],[M (KN.mm)]]/($AI$3*Table112[[#This Row],[d (mm)]]*Table112[[#This Row],[pho (%)]])</f>
        <v>0.40966386554621842</v>
      </c>
      <c r="V15" s="3">
        <f>E15*224.8/(2*SQRT($AI$4*145.037)*$AI$3*Table112[[#This Row],[d (mm)]]*(1/25.4)^2)</f>
        <v>1.6726597074511373</v>
      </c>
      <c r="W15" s="3">
        <f>Table112[[#This Row],[M (KN.mm)]]/$G$16</f>
        <v>0.92957746478873238</v>
      </c>
      <c r="X15" s="3">
        <f t="shared" si="6"/>
        <v>1.6726597074511373</v>
      </c>
      <c r="Y15" s="3">
        <v>390</v>
      </c>
      <c r="Z15" s="3">
        <v>106</v>
      </c>
      <c r="AA15" s="3">
        <v>131</v>
      </c>
      <c r="AB15" s="3">
        <v>314.16000000000003</v>
      </c>
      <c r="AC15" s="3">
        <f t="shared" si="9"/>
        <v>1.4818867924528303</v>
      </c>
      <c r="AD15" s="3">
        <v>663.3</v>
      </c>
      <c r="AE15" s="3">
        <f t="shared" si="7"/>
        <v>936703961.65123475</v>
      </c>
      <c r="AF15" s="63">
        <f t="shared" si="8"/>
        <v>234176145.83333334</v>
      </c>
      <c r="AH15"/>
    </row>
    <row r="16" spans="1:37" x14ac:dyDescent="0.25">
      <c r="A16" s="203" t="s">
        <v>32</v>
      </c>
      <c r="B16" s="204">
        <v>20</v>
      </c>
      <c r="C16" s="3">
        <v>4</v>
      </c>
      <c r="D16" s="3">
        <f>Table112[[#This Row],[a (mm)]]/Table112[[#This Row],[d (mm)]]</f>
        <v>3.6792452830188678</v>
      </c>
      <c r="E16" s="3">
        <f>71/2</f>
        <v>35.5</v>
      </c>
      <c r="F16" s="3">
        <f>Table112[[#This Row],[d (mm)]]</f>
        <v>106</v>
      </c>
      <c r="G16" s="3">
        <f t="shared" si="0"/>
        <v>13845</v>
      </c>
      <c r="H16" s="3">
        <f t="shared" si="1"/>
        <v>2.2448515365267158E-6</v>
      </c>
      <c r="I16" s="3">
        <f t="shared" si="2"/>
        <v>9.8576005695977221E-4</v>
      </c>
      <c r="J16" s="3">
        <f t="shared" si="3"/>
        <v>0.62679598985557838</v>
      </c>
      <c r="K16" s="3">
        <f t="shared" si="4"/>
        <v>1.2069696453665609E-6</v>
      </c>
      <c r="L16" s="3">
        <f t="shared" si="5"/>
        <v>1.6745283018867925E-3</v>
      </c>
      <c r="M16" s="3">
        <f>Table112[[#This Row],[M (KN.mm)]]/($AI$3*Table112[[#This Row],[d (mm)]])</f>
        <v>0.65306603773584904</v>
      </c>
      <c r="N16" s="3">
        <f>Table112[[#This Row],[M (KN.mm)]]/($AI$3*Table112[[#This Row],[h (mm)]])</f>
        <v>0.52843511450381675</v>
      </c>
      <c r="O16" s="3">
        <f>Table112[[#This Row],[M (KN.mm)]]/($AI$3*Table112[[#This Row],[h (mm)]]*$AI$2)</f>
        <v>4.2274809160305346E-4</v>
      </c>
      <c r="P16" s="3">
        <f>Table112[[#This Row],[M (KN.mm)]]/($AI$3*Table112[[#This Row],[d (mm)]]*$AI$2)</f>
        <v>5.2245283018867927E-4</v>
      </c>
      <c r="Q16" s="3">
        <f>Table112[[#This Row],[M (KN.mm)]]/($AI$3*Table112[[#This Row],[h (mm)]]*$AI$2*$AI$4)</f>
        <v>1.3463315019205523E-5</v>
      </c>
      <c r="R16" s="3">
        <f>Table112[[#This Row],[M (KN.mm)]]/($AI$3*Table112[[#This Row],[h (mm)]]*($AI$2-Table112[[#This Row],[a (mm)]]))</f>
        <v>6.1445943546955444E-4</v>
      </c>
      <c r="S16" s="3">
        <f>Table112[[#This Row],[M (KN.mm)]]/(Table112[[#This Row],[a (mm)]]*$AI$3*Table112[[#This Row],[h (mm)]]*($AI$2-Table112[[#This Row],[a (mm)]]))</f>
        <v>1.5755370140244985E-6</v>
      </c>
      <c r="T16" s="3">
        <f>Table112[[#This Row],[M (KN.mm)]]/(Table112[[#This Row],[a (mm)]]^2*$AI$3*Table112[[#This Row],[h (mm)]])</f>
        <v>3.4742611078488943E-6</v>
      </c>
      <c r="U16" s="3">
        <f>Table112[[#This Row],[M (KN.mm)]]/($AI$3*Table112[[#This Row],[d (mm)]]*Table112[[#This Row],[pho (%)]])</f>
        <v>0.44069900687547742</v>
      </c>
      <c r="V16" s="3">
        <f>E16*224.8/(2*SQRT($AI$4*145.037)*$AI$3*Table112[[#This Row],[d (mm)]]*(1/25.4)^2)</f>
        <v>1.7993763519550114</v>
      </c>
      <c r="W16" s="3">
        <f>Table112[[#This Row],[M (KN.mm)]]/$G$16</f>
        <v>1</v>
      </c>
      <c r="X16" s="3">
        <f t="shared" si="6"/>
        <v>1.7993763519550114</v>
      </c>
      <c r="Y16" s="3">
        <v>390</v>
      </c>
      <c r="Z16" s="3">
        <v>106</v>
      </c>
      <c r="AA16" s="3">
        <v>131</v>
      </c>
      <c r="AB16" s="3">
        <v>314.16000000000003</v>
      </c>
      <c r="AC16" s="3">
        <f t="shared" si="9"/>
        <v>1.4818867924528303</v>
      </c>
      <c r="AD16" s="3">
        <v>663.3</v>
      </c>
      <c r="AE16" s="3">
        <f t="shared" si="7"/>
        <v>936703961.65123475</v>
      </c>
      <c r="AF16" s="63">
        <f t="shared" si="8"/>
        <v>234176145.83333334</v>
      </c>
      <c r="AH16"/>
    </row>
    <row r="17" spans="1:34" x14ac:dyDescent="0.25">
      <c r="A17" s="205" t="s">
        <v>35</v>
      </c>
      <c r="B17" s="206">
        <v>22</v>
      </c>
      <c r="C17" s="3">
        <v>1</v>
      </c>
      <c r="D17" s="3">
        <f>Table112[[#This Row],[a (mm)]]/Table112[[#This Row],[d (mm)]]</f>
        <v>2.8057553956834531</v>
      </c>
      <c r="E17" s="3">
        <v>41.4</v>
      </c>
      <c r="F17" s="3">
        <f>Table112[[#This Row],[d (mm)]]</f>
        <v>139</v>
      </c>
      <c r="G17" s="3">
        <f t="shared" si="0"/>
        <v>16146</v>
      </c>
      <c r="H17" s="3">
        <f t="shared" si="1"/>
        <v>1.3342645734695906E-6</v>
      </c>
      <c r="I17" s="3">
        <f t="shared" si="2"/>
        <v>6.6853682521608618E-4</v>
      </c>
      <c r="J17" s="3">
        <f t="shared" si="3"/>
        <v>0.44594289543130539</v>
      </c>
      <c r="K17" s="3">
        <f t="shared" si="4"/>
        <v>7.1738332392980931E-7</v>
      </c>
      <c r="L17" s="3">
        <f t="shared" si="5"/>
        <v>1.4892086330935252E-3</v>
      </c>
      <c r="M17" s="3">
        <f>Table112[[#This Row],[M (KN.mm)]]/($AI$3*Table112[[#This Row],[d (mm)]])</f>
        <v>0.58079136690647482</v>
      </c>
      <c r="N17" s="3">
        <f>Table112[[#This Row],[M (KN.mm)]]/($AI$3*Table112[[#This Row],[h (mm)]])</f>
        <v>0.4922560975609756</v>
      </c>
      <c r="O17" s="3">
        <f>Table112[[#This Row],[M (KN.mm)]]/($AI$3*Table112[[#This Row],[h (mm)]]*$AI$2)</f>
        <v>3.9380487804878048E-4</v>
      </c>
      <c r="P17" s="3">
        <f>Table112[[#This Row],[M (KN.mm)]]/($AI$3*Table112[[#This Row],[d (mm)]]*$AI$2)</f>
        <v>4.6463309352517984E-4</v>
      </c>
      <c r="Q17" s="3">
        <f>Table112[[#This Row],[M (KN.mm)]]/($AI$3*Table112[[#This Row],[h (mm)]]*$AI$2*$AI$4)</f>
        <v>1.254155662575734E-5</v>
      </c>
      <c r="R17" s="3">
        <f>Table112[[#This Row],[M (KN.mm)]]/($AI$3*Table112[[#This Row],[h (mm)]]*($AI$2-Table112[[#This Row],[a (mm)]]))</f>
        <v>5.7239081111741346E-4</v>
      </c>
      <c r="S17" s="3">
        <f>Table112[[#This Row],[M (KN.mm)]]/(Table112[[#This Row],[a (mm)]]*$AI$3*Table112[[#This Row],[h (mm)]]*($AI$2-Table112[[#This Row],[a (mm)]]))</f>
        <v>1.4676687464549063E-6</v>
      </c>
      <c r="T17" s="3">
        <f>Table112[[#This Row],[M (KN.mm)]]/(Table112[[#This Row],[a (mm)]]^2*$AI$3*Table112[[#This Row],[h (mm)]])</f>
        <v>3.2363977485928705E-6</v>
      </c>
      <c r="U17" s="3">
        <f>Table112[[#This Row],[M (KN.mm)]]/($AI$3*Table112[[#This Row],[d (mm)]]*Table112[[#This Row],[pho (%)]])</f>
        <v>0.41115355233002293</v>
      </c>
      <c r="V17" s="3">
        <f>E17*224.8/(2*SQRT($AI$4*145.037)*$AI$3*Table112[[#This Row],[d (mm)]]*(1/25.4)^2)</f>
        <v>1.6002397776713693</v>
      </c>
      <c r="W17" s="3">
        <f>Table112[[#This Row],[M (KN.mm)]]/$G$17</f>
        <v>1</v>
      </c>
      <c r="X17" s="3">
        <f t="shared" si="6"/>
        <v>1.6002397776713693</v>
      </c>
      <c r="Y17" s="3">
        <v>390</v>
      </c>
      <c r="Z17" s="3">
        <v>139</v>
      </c>
      <c r="AA17" s="3">
        <v>164</v>
      </c>
      <c r="AB17" s="3">
        <v>392.7</v>
      </c>
      <c r="AC17" s="3">
        <f t="shared" si="9"/>
        <v>1.412589928057554</v>
      </c>
      <c r="AD17" s="3">
        <v>663.3</v>
      </c>
      <c r="AE17" s="3">
        <f t="shared" si="7"/>
        <v>1837889582.3185046</v>
      </c>
      <c r="AF17" s="63">
        <f t="shared" si="8"/>
        <v>459473333.33333331</v>
      </c>
    </row>
    <row r="18" spans="1:34" x14ac:dyDescent="0.25">
      <c r="A18" s="207" t="s">
        <v>36</v>
      </c>
      <c r="B18" s="208">
        <v>23</v>
      </c>
      <c r="C18" s="3">
        <v>2</v>
      </c>
      <c r="D18" s="3">
        <f>Table112[[#This Row],[a (mm)]]/Table112[[#This Row],[d (mm)]]</f>
        <v>2.8057553956834531</v>
      </c>
      <c r="E18" s="3">
        <f>46/2</f>
        <v>23</v>
      </c>
      <c r="F18" s="3">
        <f>Table112[[#This Row],[d (mm)]]</f>
        <v>139</v>
      </c>
      <c r="G18" s="3">
        <f t="shared" si="0"/>
        <v>8970</v>
      </c>
      <c r="H18" s="3">
        <f t="shared" si="1"/>
        <v>7.4125809637199488E-7</v>
      </c>
      <c r="I18" s="3">
        <f t="shared" si="2"/>
        <v>3.7140934734227008E-4</v>
      </c>
      <c r="J18" s="3">
        <f t="shared" si="3"/>
        <v>0.24774605301739189</v>
      </c>
      <c r="K18" s="3">
        <f t="shared" si="4"/>
        <v>3.985462910721163E-7</v>
      </c>
      <c r="L18" s="3">
        <f t="shared" si="5"/>
        <v>8.2733812949640291E-4</v>
      </c>
      <c r="M18" s="3">
        <f>Table112[[#This Row],[M (KN.mm)]]/($AI$3*Table112[[#This Row],[d (mm)]])</f>
        <v>0.32266187050359713</v>
      </c>
      <c r="N18" s="3">
        <f>Table112[[#This Row],[M (KN.mm)]]/($AI$3*Table112[[#This Row],[h (mm)]])</f>
        <v>0.27347560975609758</v>
      </c>
      <c r="O18" s="3">
        <f>Table112[[#This Row],[M (KN.mm)]]/($AI$3*Table112[[#This Row],[h (mm)]]*$AI$2)</f>
        <v>2.1878048780487805E-4</v>
      </c>
      <c r="P18" s="3">
        <f>Table112[[#This Row],[M (KN.mm)]]/($AI$3*Table112[[#This Row],[d (mm)]]*$AI$2)</f>
        <v>2.5812949640287769E-4</v>
      </c>
      <c r="Q18" s="3">
        <f>Table112[[#This Row],[M (KN.mm)]]/($AI$3*Table112[[#This Row],[h (mm)]]*$AI$2*$AI$4)</f>
        <v>6.967531458754078E-6</v>
      </c>
      <c r="R18" s="3">
        <f>Table112[[#This Row],[M (KN.mm)]]/($AI$3*Table112[[#This Row],[h (mm)]]*($AI$2-Table112[[#This Row],[a (mm)]]))</f>
        <v>3.1799489506522972E-4</v>
      </c>
      <c r="S18" s="3">
        <f>Table112[[#This Row],[M (KN.mm)]]/(Table112[[#This Row],[a (mm)]]*$AI$3*Table112[[#This Row],[h (mm)]]*($AI$2-Table112[[#This Row],[a (mm)]]))</f>
        <v>8.153715258082813E-7</v>
      </c>
      <c r="T18" s="3">
        <f>Table112[[#This Row],[M (KN.mm)]]/(Table112[[#This Row],[a (mm)]]^2*$AI$3*Table112[[#This Row],[h (mm)]])</f>
        <v>1.7979987492182613E-6</v>
      </c>
      <c r="U18" s="3">
        <f>Table112[[#This Row],[M (KN.mm)]]/($AI$3*Table112[[#This Row],[d (mm)]]*Table112[[#This Row],[pho (%)]])</f>
        <v>0.22841864018334607</v>
      </c>
      <c r="V18" s="3">
        <f>E18*224.8/(2*SQRT($AI$4*145.037)*$AI$3*Table112[[#This Row],[d (mm)]]*(1/25.4)^2)</f>
        <v>0.88902209870631643</v>
      </c>
      <c r="W18" s="3">
        <f>Table112[[#This Row],[M (KN.mm)]]/$G$20</f>
        <v>0.54373522458628842</v>
      </c>
      <c r="X18" s="3">
        <f t="shared" si="6"/>
        <v>0.88902209870631643</v>
      </c>
      <c r="Y18" s="3">
        <v>390</v>
      </c>
      <c r="Z18" s="3">
        <v>139</v>
      </c>
      <c r="AA18" s="3">
        <v>164</v>
      </c>
      <c r="AB18" s="3">
        <v>392.7</v>
      </c>
      <c r="AC18" s="3">
        <f t="shared" si="9"/>
        <v>1.412589928057554</v>
      </c>
      <c r="AD18" s="3">
        <v>663.3</v>
      </c>
      <c r="AE18" s="3">
        <f t="shared" si="7"/>
        <v>1837889582.3185046</v>
      </c>
      <c r="AF18" s="63">
        <f t="shared" si="8"/>
        <v>459473333.33333331</v>
      </c>
    </row>
    <row r="19" spans="1:34" x14ac:dyDescent="0.25">
      <c r="A19" s="207" t="s">
        <v>36</v>
      </c>
      <c r="B19" s="208">
        <v>24</v>
      </c>
      <c r="C19" s="209">
        <v>3</v>
      </c>
      <c r="D19" s="3">
        <f>Table112[[#This Row],[a (mm)]]/Table112[[#This Row],[d (mm)]]</f>
        <v>2.8057553956834531</v>
      </c>
      <c r="E19" s="3">
        <f>69/2</f>
        <v>34.5</v>
      </c>
      <c r="F19" s="3">
        <f>Table112[[#This Row],[d (mm)]]</f>
        <v>139</v>
      </c>
      <c r="G19" s="3">
        <f t="shared" si="0"/>
        <v>13455</v>
      </c>
      <c r="H19" s="3">
        <f t="shared" si="1"/>
        <v>1.1118871445579923E-6</v>
      </c>
      <c r="I19" s="3">
        <f t="shared" si="2"/>
        <v>5.5711402101340515E-4</v>
      </c>
      <c r="J19" s="3">
        <f t="shared" si="3"/>
        <v>0.37161907952608786</v>
      </c>
      <c r="K19" s="3">
        <f t="shared" si="4"/>
        <v>5.9781943660817443E-7</v>
      </c>
      <c r="L19" s="3">
        <f t="shared" si="5"/>
        <v>1.2410071942446043E-3</v>
      </c>
      <c r="M19" s="3">
        <f>Table112[[#This Row],[M (KN.mm)]]/($AI$3*Table112[[#This Row],[d (mm)]])</f>
        <v>0.48399280575539566</v>
      </c>
      <c r="N19" s="3">
        <f>Table112[[#This Row],[M (KN.mm)]]/($AI$3*Table112[[#This Row],[h (mm)]])</f>
        <v>0.41021341463414634</v>
      </c>
      <c r="O19" s="3">
        <f>Table112[[#This Row],[M (KN.mm)]]/($AI$3*Table112[[#This Row],[h (mm)]]*$AI$2)</f>
        <v>3.2817073170731705E-4</v>
      </c>
      <c r="P19" s="3">
        <f>Table112[[#This Row],[M (KN.mm)]]/($AI$3*Table112[[#This Row],[d (mm)]]*$AI$2)</f>
        <v>3.8719424460431656E-4</v>
      </c>
      <c r="Q19" s="3">
        <f>Table112[[#This Row],[M (KN.mm)]]/($AI$3*Table112[[#This Row],[h (mm)]]*$AI$2*$AI$4)</f>
        <v>1.0451297188131116E-5</v>
      </c>
      <c r="R19" s="3">
        <f>Table112[[#This Row],[M (KN.mm)]]/($AI$3*Table112[[#This Row],[h (mm)]]*($AI$2-Table112[[#This Row],[a (mm)]]))</f>
        <v>4.769923425978446E-4</v>
      </c>
      <c r="S19" s="3">
        <f>Table112[[#This Row],[M (KN.mm)]]/(Table112[[#This Row],[a (mm)]]*$AI$3*Table112[[#This Row],[h (mm)]]*($AI$2-Table112[[#This Row],[a (mm)]]))</f>
        <v>1.2230572887124221E-6</v>
      </c>
      <c r="T19" s="3">
        <f>Table112[[#This Row],[M (KN.mm)]]/(Table112[[#This Row],[a (mm)]]^2*$AI$3*Table112[[#This Row],[h (mm)]])</f>
        <v>2.6969981238273922E-6</v>
      </c>
      <c r="U19" s="3">
        <f>Table112[[#This Row],[M (KN.mm)]]/($AI$3*Table112[[#This Row],[d (mm)]]*Table112[[#This Row],[pho (%)]])</f>
        <v>0.34262796027501907</v>
      </c>
      <c r="V19" s="3">
        <f>E19*224.8/(2*SQRT($AI$4*145.037)*$AI$3*Table112[[#This Row],[d (mm)]]*(1/25.4)^2)</f>
        <v>1.3335331480594745</v>
      </c>
      <c r="W19" s="3">
        <f>Table112[[#This Row],[M (KN.mm)]]/$G$20</f>
        <v>0.81560283687943258</v>
      </c>
      <c r="X19" s="3">
        <f t="shared" si="6"/>
        <v>1.3335331480594745</v>
      </c>
      <c r="Y19" s="3">
        <v>390</v>
      </c>
      <c r="Z19" s="3">
        <v>139</v>
      </c>
      <c r="AA19" s="3">
        <v>164</v>
      </c>
      <c r="AB19" s="3">
        <v>392.7</v>
      </c>
      <c r="AC19" s="3">
        <f t="shared" si="9"/>
        <v>1.412589928057554</v>
      </c>
      <c r="AD19" s="3">
        <v>663.3</v>
      </c>
      <c r="AE19" s="3">
        <f t="shared" si="7"/>
        <v>1837889582.3185046</v>
      </c>
      <c r="AF19" s="63">
        <f t="shared" si="8"/>
        <v>459473333.33333331</v>
      </c>
    </row>
    <row r="20" spans="1:34" x14ac:dyDescent="0.25">
      <c r="A20" s="207" t="s">
        <v>36</v>
      </c>
      <c r="B20" s="208">
        <v>25</v>
      </c>
      <c r="C20" s="209">
        <v>4</v>
      </c>
      <c r="D20" s="3">
        <f>Table112[[#This Row],[a (mm)]]/Table112[[#This Row],[d (mm)]]</f>
        <v>2.8057553956834531</v>
      </c>
      <c r="E20" s="3">
        <v>42.3</v>
      </c>
      <c r="F20" s="3">
        <f>Table112[[#This Row],[d (mm)]]</f>
        <v>139</v>
      </c>
      <c r="G20" s="3">
        <f t="shared" si="0"/>
        <v>16497</v>
      </c>
      <c r="H20" s="3">
        <f t="shared" si="1"/>
        <v>1.3632703250667557E-6</v>
      </c>
      <c r="I20" s="3">
        <f t="shared" si="2"/>
        <v>6.8307023445991408E-4</v>
      </c>
      <c r="J20" s="3">
        <f t="shared" si="3"/>
        <v>0.45563730620155118</v>
      </c>
      <c r="K20" s="3">
        <f t="shared" si="4"/>
        <v>7.3297861358045732E-7</v>
      </c>
      <c r="L20" s="3">
        <f t="shared" si="5"/>
        <v>1.5215827338129495E-3</v>
      </c>
      <c r="M20" s="3">
        <f>Table112[[#This Row],[M (KN.mm)]]/($AI$3*Table112[[#This Row],[d (mm)]])</f>
        <v>0.59341726618705037</v>
      </c>
      <c r="N20" s="3">
        <f>Table112[[#This Row],[M (KN.mm)]]/($AI$3*Table112[[#This Row],[h (mm)]])</f>
        <v>0.50295731707317071</v>
      </c>
      <c r="O20" s="3">
        <f>Table112[[#This Row],[M (KN.mm)]]/($AI$3*Table112[[#This Row],[h (mm)]]*$AI$2)</f>
        <v>4.0236585365853656E-4</v>
      </c>
      <c r="P20" s="3">
        <f>Table112[[#This Row],[M (KN.mm)]]/($AI$3*Table112[[#This Row],[d (mm)]]*$AI$2)</f>
        <v>4.747338129496403E-4</v>
      </c>
      <c r="Q20" s="3">
        <f>Table112[[#This Row],[M (KN.mm)]]/($AI$3*Table112[[#This Row],[h (mm)]]*$AI$2*$AI$4)</f>
        <v>1.281419916109989E-5</v>
      </c>
      <c r="R20" s="3">
        <f>Table112[[#This Row],[M (KN.mm)]]/($AI$3*Table112[[#This Row],[h (mm)]]*($AI$2-Table112[[#This Row],[a (mm)]]))</f>
        <v>5.8483408961996597E-4</v>
      </c>
      <c r="S20" s="3">
        <f>Table112[[#This Row],[M (KN.mm)]]/(Table112[[#This Row],[a (mm)]]*$AI$3*Table112[[#This Row],[h (mm)]]*($AI$2-Table112[[#This Row],[a (mm)]]))</f>
        <v>1.4995745887691435E-6</v>
      </c>
      <c r="T20" s="3">
        <f>Table112[[#This Row],[M (KN.mm)]]/(Table112[[#This Row],[a (mm)]]^2*$AI$3*Table112[[#This Row],[h (mm)]])</f>
        <v>3.3067542213883677E-6</v>
      </c>
      <c r="U20" s="3">
        <f>Table112[[#This Row],[M (KN.mm)]]/($AI$3*Table112[[#This Row],[d (mm)]]*Table112[[#This Row],[pho (%)]])</f>
        <v>0.4200916730328495</v>
      </c>
      <c r="V20" s="3">
        <f>E20*224.8/(2*SQRT($AI$4*145.037)*$AI$3*Table112[[#This Row],[d (mm)]]*(1/25.4)^2)</f>
        <v>1.6350275989250946</v>
      </c>
      <c r="W20" s="3">
        <f>Table112[[#This Row],[M (KN.mm)]]/$G$20</f>
        <v>1</v>
      </c>
      <c r="X20" s="3">
        <f t="shared" si="6"/>
        <v>1.6350275989250946</v>
      </c>
      <c r="Y20" s="3">
        <v>390</v>
      </c>
      <c r="Z20" s="3">
        <v>139</v>
      </c>
      <c r="AA20" s="3">
        <v>164</v>
      </c>
      <c r="AB20" s="3">
        <v>392.7</v>
      </c>
      <c r="AC20" s="3">
        <f t="shared" si="9"/>
        <v>1.412589928057554</v>
      </c>
      <c r="AD20" s="3">
        <v>663.3</v>
      </c>
      <c r="AE20" s="3">
        <f t="shared" si="7"/>
        <v>1837889582.3185046</v>
      </c>
      <c r="AF20" s="63">
        <f t="shared" si="8"/>
        <v>459473333.33333331</v>
      </c>
    </row>
    <row r="21" spans="1:34" x14ac:dyDescent="0.25">
      <c r="A21" s="210" t="s">
        <v>37</v>
      </c>
      <c r="B21" s="211">
        <v>26</v>
      </c>
      <c r="C21" s="209">
        <v>2</v>
      </c>
      <c r="D21" s="3">
        <f>Table112[[#This Row],[a (mm)]]/Table112[[#This Row],[d (mm)]]</f>
        <v>2.8057553956834531</v>
      </c>
      <c r="E21" s="3">
        <v>25</v>
      </c>
      <c r="F21" s="3">
        <f>Table112[[#This Row],[d (mm)]]</f>
        <v>139</v>
      </c>
      <c r="G21" s="3">
        <f t="shared" si="0"/>
        <v>9750</v>
      </c>
      <c r="H21" s="3">
        <f t="shared" si="1"/>
        <v>8.0571532214347263E-7</v>
      </c>
      <c r="I21" s="3">
        <f t="shared" si="2"/>
        <v>4.0370581232855444E-4</v>
      </c>
      <c r="J21" s="3">
        <f t="shared" si="3"/>
        <v>0.2692891880623825</v>
      </c>
      <c r="K21" s="3">
        <f t="shared" si="4"/>
        <v>4.3320249029577858E-7</v>
      </c>
      <c r="L21" s="3">
        <f t="shared" si="5"/>
        <v>8.9928057553956839E-4</v>
      </c>
      <c r="M21" s="3">
        <f>Table112[[#This Row],[M (KN.mm)]]/($AI$3*Table112[[#This Row],[d (mm)]])</f>
        <v>0.35071942446043164</v>
      </c>
      <c r="N21" s="3">
        <f>Table112[[#This Row],[M (KN.mm)]]/($AI$3*Table112[[#This Row],[h (mm)]])</f>
        <v>0.2972560975609756</v>
      </c>
      <c r="O21" s="3">
        <f>Table112[[#This Row],[M (KN.mm)]]/($AI$3*Table112[[#This Row],[h (mm)]]*$AI$2)</f>
        <v>2.3780487804878048E-4</v>
      </c>
      <c r="P21" s="3">
        <f>Table112[[#This Row],[M (KN.mm)]]/($AI$3*Table112[[#This Row],[d (mm)]]*$AI$2)</f>
        <v>2.8057553956834533E-4</v>
      </c>
      <c r="Q21" s="3">
        <f>Table112[[#This Row],[M (KN.mm)]]/($AI$3*Table112[[#This Row],[h (mm)]]*$AI$2*$AI$4)</f>
        <v>7.5734037595153018E-6</v>
      </c>
      <c r="R21" s="3">
        <f>Table112[[#This Row],[M (KN.mm)]]/($AI$3*Table112[[#This Row],[h (mm)]]*($AI$2-Table112[[#This Row],[a (mm)]]))</f>
        <v>3.4564662507090185E-4</v>
      </c>
      <c r="S21" s="3">
        <f>Table112[[#This Row],[M (KN.mm)]]/(Table112[[#This Row],[a (mm)]]*$AI$3*Table112[[#This Row],[h (mm)]]*($AI$2-Table112[[#This Row],[a (mm)]]))</f>
        <v>8.8627339761769713E-7</v>
      </c>
      <c r="T21" s="3">
        <f>Table112[[#This Row],[M (KN.mm)]]/(Table112[[#This Row],[a (mm)]]^2*$AI$3*Table112[[#This Row],[h (mm)]])</f>
        <v>1.9543464665415885E-6</v>
      </c>
      <c r="U21" s="3">
        <f>Table112[[#This Row],[M (KN.mm)]]/($AI$3*Table112[[#This Row],[d (mm)]]*Table112[[#This Row],[pho (%)]])</f>
        <v>0.24828113063407181</v>
      </c>
      <c r="V21" s="3">
        <f>E21*224.8/(2*SQRT($AI$4*145.037)*$AI$3*Table112[[#This Row],[d (mm)]]*(1/25.4)^2)</f>
        <v>0.96632836815903944</v>
      </c>
      <c r="W21" s="3">
        <f>Table112[[#This Row],[M (KN.mm)]]/$G$24</f>
        <v>0.43859649122807015</v>
      </c>
      <c r="X21" s="3">
        <f t="shared" si="6"/>
        <v>0.96632836815903944</v>
      </c>
      <c r="Y21" s="3">
        <v>390</v>
      </c>
      <c r="Z21" s="3">
        <v>139</v>
      </c>
      <c r="AA21" s="3">
        <v>164</v>
      </c>
      <c r="AB21" s="3">
        <v>392.7</v>
      </c>
      <c r="AC21" s="3">
        <f t="shared" si="9"/>
        <v>1.412589928057554</v>
      </c>
      <c r="AD21" s="3">
        <v>663.3</v>
      </c>
      <c r="AE21" s="3">
        <f t="shared" si="7"/>
        <v>1837889582.3185046</v>
      </c>
      <c r="AF21" s="63">
        <f t="shared" si="8"/>
        <v>459473333.33333331</v>
      </c>
    </row>
    <row r="22" spans="1:34" x14ac:dyDescent="0.25">
      <c r="A22" s="210" t="s">
        <v>37</v>
      </c>
      <c r="B22" s="211">
        <v>28</v>
      </c>
      <c r="C22" s="3">
        <v>3</v>
      </c>
      <c r="D22" s="3">
        <f>Table112[[#This Row],[a (mm)]]/Table112[[#This Row],[d (mm)]]</f>
        <v>2.8057553956834531</v>
      </c>
      <c r="E22" s="3">
        <f>65/2</f>
        <v>32.5</v>
      </c>
      <c r="F22" s="3">
        <f>Table112[[#This Row],[d (mm)]]</f>
        <v>139</v>
      </c>
      <c r="G22" s="3">
        <f t="shared" si="0"/>
        <v>12675</v>
      </c>
      <c r="H22" s="3">
        <f t="shared" si="1"/>
        <v>1.0474299187865144E-6</v>
      </c>
      <c r="I22" s="3">
        <f t="shared" si="2"/>
        <v>5.2481755602712074E-4</v>
      </c>
      <c r="J22" s="3">
        <f t="shared" si="3"/>
        <v>0.35007594448109725</v>
      </c>
      <c r="K22" s="3">
        <f t="shared" si="4"/>
        <v>5.6316323738451221E-7</v>
      </c>
      <c r="L22" s="3">
        <f t="shared" si="5"/>
        <v>1.1690647482014388E-3</v>
      </c>
      <c r="M22" s="3">
        <f>Table112[[#This Row],[M (KN.mm)]]/($AI$3*Table112[[#This Row],[d (mm)]])</f>
        <v>0.45593525179856115</v>
      </c>
      <c r="N22" s="3">
        <f>Table112[[#This Row],[M (KN.mm)]]/($AI$3*Table112[[#This Row],[h (mm)]])</f>
        <v>0.38643292682926828</v>
      </c>
      <c r="O22" s="3">
        <f>Table112[[#This Row],[M (KN.mm)]]/($AI$3*Table112[[#This Row],[h (mm)]]*$AI$2)</f>
        <v>3.0914634146341462E-4</v>
      </c>
      <c r="P22" s="3">
        <f>Table112[[#This Row],[M (KN.mm)]]/($AI$3*Table112[[#This Row],[d (mm)]]*$AI$2)</f>
        <v>3.6474820143884892E-4</v>
      </c>
      <c r="Q22" s="3">
        <f>Table112[[#This Row],[M (KN.mm)]]/($AI$3*Table112[[#This Row],[h (mm)]]*$AI$2*$AI$4)</f>
        <v>9.8454248873698925E-6</v>
      </c>
      <c r="R22" s="3">
        <f>Table112[[#This Row],[M (KN.mm)]]/($AI$3*Table112[[#This Row],[h (mm)]]*($AI$2-Table112[[#This Row],[a (mm)]]))</f>
        <v>4.4934061259217241E-4</v>
      </c>
      <c r="S22" s="3">
        <f>Table112[[#This Row],[M (KN.mm)]]/(Table112[[#This Row],[a (mm)]]*$AI$3*Table112[[#This Row],[h (mm)]]*($AI$2-Table112[[#This Row],[a (mm)]]))</f>
        <v>1.1521554169030062E-6</v>
      </c>
      <c r="T22" s="3">
        <f>Table112[[#This Row],[M (KN.mm)]]/(Table112[[#This Row],[a (mm)]]^2*$AI$3*Table112[[#This Row],[h (mm)]])</f>
        <v>2.540650406504065E-6</v>
      </c>
      <c r="U22" s="3">
        <f>Table112[[#This Row],[M (KN.mm)]]/($AI$3*Table112[[#This Row],[d (mm)]]*Table112[[#This Row],[pho (%)]])</f>
        <v>0.32276546982429333</v>
      </c>
      <c r="V22" s="3">
        <f>E22*224.8/(2*SQRT($AI$4*145.037)*$AI$3*Table112[[#This Row],[d (mm)]]*(1/25.4)^2)</f>
        <v>1.2562268786067512</v>
      </c>
      <c r="W22" s="3">
        <f>Table112[[#This Row],[M (KN.mm)]]/$G$24</f>
        <v>0.57017543859649122</v>
      </c>
      <c r="X22" s="3">
        <f t="shared" si="6"/>
        <v>1.2562268786067512</v>
      </c>
      <c r="Y22" s="3">
        <v>390</v>
      </c>
      <c r="Z22" s="3">
        <v>139</v>
      </c>
      <c r="AA22" s="3">
        <v>164</v>
      </c>
      <c r="AB22" s="3">
        <v>392.7</v>
      </c>
      <c r="AC22" s="3">
        <f t="shared" si="9"/>
        <v>1.412589928057554</v>
      </c>
      <c r="AD22" s="3">
        <v>663.3</v>
      </c>
      <c r="AE22" s="3">
        <f t="shared" si="7"/>
        <v>1837889582.3185046</v>
      </c>
      <c r="AF22" s="63">
        <f t="shared" si="8"/>
        <v>459473333.33333331</v>
      </c>
    </row>
    <row r="23" spans="1:34" x14ac:dyDescent="0.25">
      <c r="A23" s="210" t="s">
        <v>37</v>
      </c>
      <c r="B23" s="211">
        <v>29</v>
      </c>
      <c r="C23" s="3">
        <v>4</v>
      </c>
      <c r="D23" s="3">
        <f>Table112[[#This Row],[a (mm)]]/Table112[[#This Row],[d (mm)]]</f>
        <v>2.8057553956834531</v>
      </c>
      <c r="E23" s="3">
        <f>86/2</f>
        <v>43</v>
      </c>
      <c r="F23" s="3">
        <f>Table112[[#This Row],[d (mm)]]</f>
        <v>139</v>
      </c>
      <c r="G23" s="3">
        <f t="shared" si="0"/>
        <v>16770</v>
      </c>
      <c r="H23" s="3">
        <f t="shared" si="1"/>
        <v>1.3858303540867729E-6</v>
      </c>
      <c r="I23" s="3">
        <f t="shared" si="2"/>
        <v>6.943739972051136E-4</v>
      </c>
      <c r="J23" s="3">
        <f t="shared" si="3"/>
        <v>0.46317740346729791</v>
      </c>
      <c r="K23" s="3">
        <f t="shared" si="4"/>
        <v>7.4510828330873922E-7</v>
      </c>
      <c r="L23" s="3">
        <f t="shared" si="5"/>
        <v>1.5467625899280575E-3</v>
      </c>
      <c r="M23" s="3">
        <f>Table112[[#This Row],[M (KN.mm)]]/($AI$3*Table112[[#This Row],[d (mm)]])</f>
        <v>0.60323741007194243</v>
      </c>
      <c r="N23" s="3">
        <f>Table112[[#This Row],[M (KN.mm)]]/($AI$3*Table112[[#This Row],[h (mm)]])</f>
        <v>0.511280487804878</v>
      </c>
      <c r="O23" s="3">
        <f>Table112[[#This Row],[M (KN.mm)]]/($AI$3*Table112[[#This Row],[h (mm)]]*$AI$2)</f>
        <v>4.0902439024390243E-4</v>
      </c>
      <c r="P23" s="3">
        <f>Table112[[#This Row],[M (KN.mm)]]/($AI$3*Table112[[#This Row],[d (mm)]]*$AI$2)</f>
        <v>4.8258992805755394E-4</v>
      </c>
      <c r="Q23" s="3">
        <f>Table112[[#This Row],[M (KN.mm)]]/($AI$3*Table112[[#This Row],[h (mm)]]*$AI$2*$AI$4)</f>
        <v>1.302625446636632E-5</v>
      </c>
      <c r="R23" s="3">
        <f>Table112[[#This Row],[M (KN.mm)]]/($AI$3*Table112[[#This Row],[h (mm)]]*($AI$2-Table112[[#This Row],[a (mm)]]))</f>
        <v>5.9451219512195121E-4</v>
      </c>
      <c r="S23" s="3">
        <f>Table112[[#This Row],[M (KN.mm)]]/(Table112[[#This Row],[a (mm)]]*$AI$3*Table112[[#This Row],[h (mm)]]*($AI$2-Table112[[#This Row],[a (mm)]]))</f>
        <v>1.5243902439024391E-6</v>
      </c>
      <c r="T23" s="3">
        <f>Table112[[#This Row],[M (KN.mm)]]/(Table112[[#This Row],[a (mm)]]^2*$AI$3*Table112[[#This Row],[h (mm)]])</f>
        <v>3.3614759224515321E-6</v>
      </c>
      <c r="U23" s="3">
        <f>Table112[[#This Row],[M (KN.mm)]]/($AI$3*Table112[[#This Row],[d (mm)]]*Table112[[#This Row],[pho (%)]])</f>
        <v>0.42704354469060352</v>
      </c>
      <c r="V23" s="3">
        <f>E23*224.8/(2*SQRT($AI$4*145.037)*$AI$3*Table112[[#This Row],[d (mm)]]*(1/25.4)^2)</f>
        <v>1.6620847932335479</v>
      </c>
      <c r="W23" s="3">
        <f>Table112[[#This Row],[M (KN.mm)]]/$G$24</f>
        <v>0.75438596491228072</v>
      </c>
      <c r="X23" s="3">
        <f t="shared" si="6"/>
        <v>1.6620847932335479</v>
      </c>
      <c r="Y23" s="3">
        <v>390</v>
      </c>
      <c r="Z23" s="3">
        <v>139</v>
      </c>
      <c r="AA23" s="3">
        <v>164</v>
      </c>
      <c r="AB23" s="3">
        <v>392.7</v>
      </c>
      <c r="AC23" s="3">
        <f t="shared" si="9"/>
        <v>1.412589928057554</v>
      </c>
      <c r="AD23" s="3">
        <v>663.3</v>
      </c>
      <c r="AE23" s="3">
        <f t="shared" si="7"/>
        <v>1837889582.3185046</v>
      </c>
      <c r="AF23" s="63">
        <f t="shared" si="8"/>
        <v>459473333.33333331</v>
      </c>
    </row>
    <row r="24" spans="1:34" x14ac:dyDescent="0.25">
      <c r="A24" s="210" t="s">
        <v>37</v>
      </c>
      <c r="B24" s="211">
        <v>30</v>
      </c>
      <c r="C24" s="3">
        <v>5</v>
      </c>
      <c r="D24" s="3">
        <f>Table112[[#This Row],[a (mm)]]/Table112[[#This Row],[d (mm)]]</f>
        <v>2.8057553956834531</v>
      </c>
      <c r="E24" s="3">
        <v>57</v>
      </c>
      <c r="F24" s="3">
        <f>Table112[[#This Row],[d (mm)]]</f>
        <v>139</v>
      </c>
      <c r="G24" s="3">
        <f t="shared" si="0"/>
        <v>22230</v>
      </c>
      <c r="H24" s="3">
        <f t="shared" si="1"/>
        <v>1.8370309344871176E-6</v>
      </c>
      <c r="I24" s="103">
        <f t="shared" si="2"/>
        <v>9.2044925210910404E-4</v>
      </c>
      <c r="J24" s="3">
        <f t="shared" si="3"/>
        <v>0.61397934878223204</v>
      </c>
      <c r="K24" s="3">
        <f t="shared" si="4"/>
        <v>9.8770167787437531E-7</v>
      </c>
      <c r="L24" s="3">
        <f t="shared" si="5"/>
        <v>2.0503597122302156E-3</v>
      </c>
      <c r="M24" s="3">
        <f>Table112[[#This Row],[M (KN.mm)]]/($AI$3*Table112[[#This Row],[d (mm)]])</f>
        <v>0.79964028776978413</v>
      </c>
      <c r="N24" s="3">
        <f>Table112[[#This Row],[M (KN.mm)]]/($AI$3*Table112[[#This Row],[h (mm)]])</f>
        <v>0.67774390243902438</v>
      </c>
      <c r="O24" s="3">
        <f>Table112[[#This Row],[M (KN.mm)]]/($AI$3*Table112[[#This Row],[h (mm)]]*$AI$2)</f>
        <v>5.421951219512195E-4</v>
      </c>
      <c r="P24" s="3">
        <f>Table112[[#This Row],[M (KN.mm)]]/($AI$3*Table112[[#This Row],[d (mm)]]*$AI$2)</f>
        <v>6.3971223021582738E-4</v>
      </c>
      <c r="Q24" s="3">
        <f>Table112[[#This Row],[M (KN.mm)]]/($AI$3*Table112[[#This Row],[h (mm)]]*$AI$2*$AI$4)</f>
        <v>1.726736057169489E-5</v>
      </c>
      <c r="R24" s="3">
        <f>Table112[[#This Row],[M (KN.mm)]]/($AI$3*Table112[[#This Row],[h (mm)]]*($AI$2-Table112[[#This Row],[a (mm)]]))</f>
        <v>7.880743051616563E-4</v>
      </c>
      <c r="S24" s="3">
        <f>Table112[[#This Row],[M (KN.mm)]]/(Table112[[#This Row],[a (mm)]]*$AI$3*Table112[[#This Row],[h (mm)]]*($AI$2-Table112[[#This Row],[a (mm)]]))</f>
        <v>2.0207033465683494E-6</v>
      </c>
      <c r="T24" s="3">
        <f>Table112[[#This Row],[M (KN.mm)]]/(Table112[[#This Row],[a (mm)]]^2*$AI$3*Table112[[#This Row],[h (mm)]])</f>
        <v>4.4559099437148214E-6</v>
      </c>
      <c r="U24" s="3">
        <f>Table112[[#This Row],[M (KN.mm)]]/($AI$3*Table112[[#This Row],[d (mm)]]*Table112[[#This Row],[pho (%)]])</f>
        <v>0.56608097784568367</v>
      </c>
      <c r="V24" s="3">
        <f>E24*224.8/(2*SQRT($AI$4*145.037)*$AI$3*Table112[[#This Row],[d (mm)]]*(1/25.4)^2)</f>
        <v>2.2032286794026099</v>
      </c>
      <c r="W24" s="3">
        <f>Table112[[#This Row],[M (KN.mm)]]/$G$24</f>
        <v>1</v>
      </c>
      <c r="X24" s="3">
        <f t="shared" si="6"/>
        <v>2.2032286794026099</v>
      </c>
      <c r="Y24" s="3">
        <v>390</v>
      </c>
      <c r="Z24" s="3">
        <v>139</v>
      </c>
      <c r="AA24" s="3">
        <v>164</v>
      </c>
      <c r="AB24" s="3">
        <v>392.7</v>
      </c>
      <c r="AC24" s="3">
        <f t="shared" si="9"/>
        <v>1.412589928057554</v>
      </c>
      <c r="AD24" s="3">
        <v>663.3</v>
      </c>
      <c r="AE24" s="3">
        <f t="shared" si="7"/>
        <v>1837889582.3185046</v>
      </c>
      <c r="AF24" s="63">
        <f t="shared" si="8"/>
        <v>459473333.33333331</v>
      </c>
    </row>
    <row r="25" spans="1:34" x14ac:dyDescent="0.25">
      <c r="A25" s="212" t="s">
        <v>38</v>
      </c>
      <c r="B25" s="213">
        <v>31</v>
      </c>
      <c r="C25" s="3" t="s">
        <v>41</v>
      </c>
      <c r="D25" s="3">
        <f>Table112[[#This Row],[a (mm)]]/Table112[[#This Row],[d (mm)]]</f>
        <v>2.3926380368098159</v>
      </c>
      <c r="E25" s="3">
        <v>50</v>
      </c>
      <c r="F25" s="3">
        <f>Table112[[#This Row],[d (mm)]]</f>
        <v>163</v>
      </c>
      <c r="G25" s="3">
        <f t="shared" si="0"/>
        <v>19500</v>
      </c>
      <c r="H25" s="3">
        <f t="shared" si="1"/>
        <v>1.0528287840158102E-6</v>
      </c>
      <c r="I25" s="3">
        <f t="shared" si="2"/>
        <v>5.8715043848093639E-4</v>
      </c>
      <c r="J25" s="3">
        <f t="shared" si="3"/>
        <v>0.42041999736531194</v>
      </c>
      <c r="K25" s="3">
        <f t="shared" si="4"/>
        <v>5.6606719509369527E-7</v>
      </c>
      <c r="L25" s="3">
        <f t="shared" si="5"/>
        <v>1.5337423312883436E-3</v>
      </c>
      <c r="M25" s="3">
        <f>Table112[[#This Row],[M (KN.mm)]]/($AI$3*Table112[[#This Row],[d (mm)]])</f>
        <v>0.59815950920245398</v>
      </c>
      <c r="N25" s="3">
        <f>Table112[[#This Row],[M (KN.mm)]]/($AI$3*Table112[[#This Row],[h (mm)]])</f>
        <v>0.51587301587301593</v>
      </c>
      <c r="O25" s="3">
        <f>Table112[[#This Row],[M (KN.mm)]]/($AI$3*Table112[[#This Row],[h (mm)]]*$AI$2)</f>
        <v>4.1269841269841269E-4</v>
      </c>
      <c r="P25" s="3">
        <f>Table112[[#This Row],[M (KN.mm)]]/($AI$3*Table112[[#This Row],[d (mm)]]*$AI$2)</f>
        <v>4.7852760736196321E-4</v>
      </c>
      <c r="Q25" s="3">
        <f>Table112[[#This Row],[M (KN.mm)]]/($AI$3*Table112[[#This Row],[h (mm)]]*$AI$2*$AI$4)</f>
        <v>1.3143261550904864E-5</v>
      </c>
      <c r="R25" s="3">
        <f>Table112[[#This Row],[M (KN.mm)]]/($AI$3*Table112[[#This Row],[h (mm)]]*($AI$2-Table112[[#This Row],[a (mm)]]))</f>
        <v>5.9985234403839055E-4</v>
      </c>
      <c r="S25" s="3">
        <f>Table112[[#This Row],[M (KN.mm)]]/(Table112[[#This Row],[a (mm)]]*$AI$3*Table112[[#This Row],[h (mm)]]*($AI$2-Table112[[#This Row],[a (mm)]]))</f>
        <v>1.5380829334317706E-6</v>
      </c>
      <c r="T25" s="3">
        <f>Table112[[#This Row],[M (KN.mm)]]/(Table112[[#This Row],[a (mm)]]^2*$AI$3*Table112[[#This Row],[h (mm)]])</f>
        <v>3.3916700583367249E-6</v>
      </c>
      <c r="U25" s="3">
        <f>Table112[[#This Row],[M (KN.mm)]]/($AI$3*Table112[[#This Row],[d (mm)]]*Table112[[#This Row],[pho (%)]])</f>
        <v>0.43104401069873344</v>
      </c>
      <c r="V25" s="3">
        <f>E25*224.8/(2*SQRT($AI$4*145.037)*$AI$3*Table112[[#This Row],[d (mm)]]*(1/25.4)^2)</f>
        <v>1.6480937812773802</v>
      </c>
      <c r="W25" s="3">
        <f>Table112[[#This Row],[M (KN.mm)]]/$G$25</f>
        <v>1</v>
      </c>
      <c r="X25" s="3">
        <f t="shared" si="6"/>
        <v>1.6480937812773802</v>
      </c>
      <c r="Y25" s="3">
        <v>390</v>
      </c>
      <c r="Z25" s="3">
        <v>163</v>
      </c>
      <c r="AA25" s="3">
        <v>189</v>
      </c>
      <c r="AB25" s="3">
        <v>452.39</v>
      </c>
      <c r="AC25" s="3">
        <f t="shared" si="9"/>
        <v>1.3876993865030673</v>
      </c>
      <c r="AD25" s="3">
        <v>629</v>
      </c>
      <c r="AE25" s="3">
        <f t="shared" si="7"/>
        <v>2813017079.4202671</v>
      </c>
      <c r="AF25" s="63">
        <f t="shared" si="8"/>
        <v>703257187.5</v>
      </c>
    </row>
    <row r="26" spans="1:34" x14ac:dyDescent="0.25">
      <c r="A26" s="212" t="s">
        <v>39</v>
      </c>
      <c r="B26" s="213">
        <v>32</v>
      </c>
      <c r="C26" s="160" t="s">
        <v>42</v>
      </c>
      <c r="D26" s="3">
        <f>Table112[[#This Row],[a (mm)]]/Table112[[#This Row],[d (mm)]]</f>
        <v>2.3926380368098159</v>
      </c>
      <c r="E26" s="3">
        <v>50.7</v>
      </c>
      <c r="F26" s="3">
        <f>Table112[[#This Row],[d (mm)]]</f>
        <v>163</v>
      </c>
      <c r="G26" s="3">
        <f t="shared" si="0"/>
        <v>19773</v>
      </c>
      <c r="H26" s="3">
        <f t="shared" si="1"/>
        <v>1.0675683869920317E-6</v>
      </c>
      <c r="I26" s="3">
        <f t="shared" si="2"/>
        <v>5.9537054461966958E-4</v>
      </c>
      <c r="J26" s="3">
        <f t="shared" si="3"/>
        <v>0.42630587732842629</v>
      </c>
      <c r="K26" s="3">
        <f t="shared" si="4"/>
        <v>5.73992135825007E-7</v>
      </c>
      <c r="L26" s="3">
        <f t="shared" si="5"/>
        <v>1.5552147239263805E-3</v>
      </c>
      <c r="M26" s="3">
        <f>Table112[[#This Row],[M (KN.mm)]]/($AI$3*Table112[[#This Row],[d (mm)]])</f>
        <v>0.60653374233128832</v>
      </c>
      <c r="N26" s="3">
        <f>Table112[[#This Row],[M (KN.mm)]]/($AI$3*Table112[[#This Row],[h (mm)]])</f>
        <v>0.52309523809523806</v>
      </c>
      <c r="O26" s="3">
        <f>Table112[[#This Row],[M (KN.mm)]]/($AI$3*Table112[[#This Row],[h (mm)]]*$AI$2)</f>
        <v>4.1847619047619047E-4</v>
      </c>
      <c r="P26" s="3">
        <f>Table112[[#This Row],[M (KN.mm)]]/($AI$3*Table112[[#This Row],[d (mm)]]*$AI$2)</f>
        <v>4.852269938650307E-4</v>
      </c>
      <c r="Q26" s="3">
        <f>Table112[[#This Row],[M (KN.mm)]]/($AI$3*Table112[[#This Row],[h (mm)]]*$AI$2*$AI$4)</f>
        <v>1.3327267212617531E-5</v>
      </c>
      <c r="R26" s="3">
        <f>Table112[[#This Row],[M (KN.mm)]]/($AI$3*Table112[[#This Row],[h (mm)]]*($AI$2-Table112[[#This Row],[a (mm)]]))</f>
        <v>6.0825027685492805E-4</v>
      </c>
      <c r="S26" s="3">
        <f>Table112[[#This Row],[M (KN.mm)]]/(Table112[[#This Row],[a (mm)]]*$AI$3*Table112[[#This Row],[h (mm)]]*($AI$2-Table112[[#This Row],[a (mm)]]))</f>
        <v>1.5596160944998155E-6</v>
      </c>
      <c r="T26" s="3">
        <f>Table112[[#This Row],[M (KN.mm)]]/(Table112[[#This Row],[a (mm)]]^2*$AI$3*Table112[[#This Row],[h (mm)]])</f>
        <v>3.439153439153439E-6</v>
      </c>
      <c r="U26" s="3">
        <f>Table112[[#This Row],[M (KN.mm)]]/($AI$3*Table112[[#This Row],[d (mm)]]*Table112[[#This Row],[pho (%)]])</f>
        <v>0.43707862684851573</v>
      </c>
      <c r="V26" s="3">
        <f>E26*224.8/(2*SQRT($AI$4*145.037)*$AI$3*Table112[[#This Row],[d (mm)]]*(1/25.4)^2)</f>
        <v>1.6711670942152634</v>
      </c>
      <c r="W26" s="3">
        <v>1</v>
      </c>
      <c r="X26" s="3">
        <f t="shared" si="6"/>
        <v>1.6711670942152634</v>
      </c>
      <c r="Y26" s="3">
        <v>390</v>
      </c>
      <c r="Z26" s="3">
        <v>163</v>
      </c>
      <c r="AA26" s="3">
        <v>189</v>
      </c>
      <c r="AB26" s="3">
        <v>452.39</v>
      </c>
      <c r="AC26" s="3">
        <f t="shared" si="9"/>
        <v>1.3876993865030673</v>
      </c>
      <c r="AD26" s="3">
        <v>629</v>
      </c>
      <c r="AE26" s="3">
        <f t="shared" si="7"/>
        <v>2813017079.4202671</v>
      </c>
      <c r="AF26" s="63">
        <f t="shared" si="8"/>
        <v>703257187.5</v>
      </c>
    </row>
    <row r="27" spans="1:34" x14ac:dyDescent="0.25">
      <c r="A27" s="212" t="s">
        <v>40</v>
      </c>
      <c r="B27" s="213">
        <v>33</v>
      </c>
      <c r="C27" s="7" t="s">
        <v>43</v>
      </c>
      <c r="D27" s="3">
        <f>Table112[[#This Row],[a (mm)]]/Table112[[#This Row],[d (mm)]]</f>
        <v>2.3926380368098159</v>
      </c>
      <c r="E27" s="3">
        <v>44.9</v>
      </c>
      <c r="F27" s="3">
        <f>Table112[[#This Row],[d (mm)]]</f>
        <v>163</v>
      </c>
      <c r="G27" s="3">
        <f t="shared" si="0"/>
        <v>17511</v>
      </c>
      <c r="H27" s="3">
        <f t="shared" si="1"/>
        <v>9.4544024804619757E-7</v>
      </c>
      <c r="I27" s="3">
        <f t="shared" si="2"/>
        <v>5.2726109375588089E-4</v>
      </c>
      <c r="J27" s="3">
        <f t="shared" si="3"/>
        <v>0.3775371576340501</v>
      </c>
      <c r="K27" s="3">
        <f t="shared" si="4"/>
        <v>5.0832834119413833E-7</v>
      </c>
      <c r="L27" s="3">
        <f t="shared" si="5"/>
        <v>1.3773006134969324E-3</v>
      </c>
      <c r="M27" s="3">
        <f>Table112[[#This Row],[M (KN.mm)]]/($AI$3*Table112[[#This Row],[d (mm)]])</f>
        <v>0.5371472392638037</v>
      </c>
      <c r="N27" s="3">
        <f>Table112[[#This Row],[M (KN.mm)]]/($AI$3*Table112[[#This Row],[h (mm)]])</f>
        <v>0.46325396825396825</v>
      </c>
      <c r="O27" s="3">
        <f>Table112[[#This Row],[M (KN.mm)]]/($AI$3*Table112[[#This Row],[h (mm)]]*$AI$2)</f>
        <v>3.7060317460317459E-4</v>
      </c>
      <c r="P27" s="3">
        <f>Table112[[#This Row],[M (KN.mm)]]/($AI$3*Table112[[#This Row],[d (mm)]]*$AI$2)</f>
        <v>4.2971779141104296E-4</v>
      </c>
      <c r="Q27" s="3">
        <f>Table112[[#This Row],[M (KN.mm)]]/($AI$3*Table112[[#This Row],[h (mm)]]*$AI$2*$AI$4)</f>
        <v>1.1802648872712566E-5</v>
      </c>
      <c r="R27" s="3">
        <f>Table112[[#This Row],[M (KN.mm)]]/($AI$3*Table112[[#This Row],[h (mm)]]*($AI$2-Table112[[#This Row],[a (mm)]]))</f>
        <v>5.3866740494647473E-4</v>
      </c>
      <c r="S27" s="3">
        <f>Table112[[#This Row],[M (KN.mm)]]/(Table112[[#This Row],[a (mm)]]*$AI$3*Table112[[#This Row],[h (mm)]]*($AI$2-Table112[[#This Row],[a (mm)]]))</f>
        <v>1.3811984742217301E-6</v>
      </c>
      <c r="T27" s="3">
        <f>Table112[[#This Row],[M (KN.mm)]]/(Table112[[#This Row],[a (mm)]]^2*$AI$3*Table112[[#This Row],[h (mm)]])</f>
        <v>3.045719712386379E-6</v>
      </c>
      <c r="U27" s="3">
        <f>Table112[[#This Row],[M (KN.mm)]]/($AI$3*Table112[[#This Row],[d (mm)]]*Table112[[#This Row],[pho (%)]])</f>
        <v>0.38707752160746267</v>
      </c>
      <c r="V27" s="3">
        <f>E27*224.8/(2*SQRT($AI$4*145.037)*$AI$3*Table112[[#This Row],[d (mm)]]*(1/25.4)^2)</f>
        <v>1.4799882155870874</v>
      </c>
      <c r="W27" s="3">
        <v>1</v>
      </c>
      <c r="X27" s="3">
        <f t="shared" si="6"/>
        <v>1.4799882155870874</v>
      </c>
      <c r="Y27" s="3">
        <v>390</v>
      </c>
      <c r="Z27" s="3">
        <v>163</v>
      </c>
      <c r="AA27" s="3">
        <v>189</v>
      </c>
      <c r="AB27" s="3">
        <v>452.39</v>
      </c>
      <c r="AC27" s="3">
        <f t="shared" si="9"/>
        <v>1.3876993865030673</v>
      </c>
      <c r="AD27" s="3">
        <v>629</v>
      </c>
      <c r="AE27" s="3">
        <f t="shared" si="7"/>
        <v>2813017079.4202671</v>
      </c>
      <c r="AF27" s="63">
        <f t="shared" si="8"/>
        <v>703257187.5</v>
      </c>
    </row>
    <row r="28" spans="1:34" x14ac:dyDescent="0.25">
      <c r="A28" s="214" t="s">
        <v>44</v>
      </c>
      <c r="B28" s="215">
        <v>34</v>
      </c>
      <c r="C28" s="160">
        <v>2</v>
      </c>
      <c r="D28" s="3">
        <f>Table112[[#This Row],[a (mm)]]/Table112[[#This Row],[d (mm)]]</f>
        <v>1.8571428571428572</v>
      </c>
      <c r="E28" s="13">
        <f>71.3/2</f>
        <v>35.65</v>
      </c>
      <c r="F28" s="3">
        <f>Table112[[#This Row],[d (mm)]]</f>
        <v>210</v>
      </c>
      <c r="G28" s="3">
        <f t="shared" si="0"/>
        <v>13903.5</v>
      </c>
      <c r="H28" s="3">
        <f t="shared" si="1"/>
        <v>3.8556418306196877E-7</v>
      </c>
      <c r="I28" s="3">
        <f t="shared" si="2"/>
        <v>2.5221768707482992E-4</v>
      </c>
      <c r="J28" s="3">
        <f t="shared" si="3"/>
        <v>0.18613552633502012</v>
      </c>
      <c r="K28" s="3">
        <f t="shared" si="4"/>
        <v>2.0730538737587502E-7</v>
      </c>
      <c r="L28" s="3">
        <f t="shared" si="5"/>
        <v>8.4880952380952382E-4</v>
      </c>
      <c r="M28" s="3">
        <f>Table112[[#This Row],[M (KN.mm)]]/($AI$3*Table112[[#This Row],[d (mm)]])</f>
        <v>0.33103571428571427</v>
      </c>
      <c r="N28" s="3">
        <f>Table112[[#This Row],[M (KN.mm)]]/($AI$3*Table112[[#This Row],[h (mm)]])</f>
        <v>0.29456567796610167</v>
      </c>
      <c r="O28" s="3">
        <f>Table112[[#This Row],[M (KN.mm)]]/($AI$3*Table112[[#This Row],[h (mm)]]*$AI$2)</f>
        <v>2.3565254237288135E-4</v>
      </c>
      <c r="P28" s="3">
        <f>Table112[[#This Row],[M (KN.mm)]]/($AI$3*Table112[[#This Row],[d (mm)]]*$AI$2)</f>
        <v>2.6482857142857145E-4</v>
      </c>
      <c r="Q28" s="3">
        <f>Table112[[#This Row],[M (KN.mm)]]/($AI$3*Table112[[#This Row],[h (mm)]]*$AI$2*$AI$4)</f>
        <v>7.5048580373529096E-6</v>
      </c>
      <c r="R28" s="3">
        <f>Table112[[#This Row],[M (KN.mm)]]/($AI$3*Table112[[#This Row],[h (mm)]]*($AI$2-Table112[[#This Row],[a (mm)]]))</f>
        <v>3.425182301931415E-4</v>
      </c>
      <c r="S28" s="3">
        <f>Table112[[#This Row],[M (KN.mm)]]/(Table112[[#This Row],[a (mm)]]*$AI$3*Table112[[#This Row],[h (mm)]]*($AI$2-Table112[[#This Row],[a (mm)]]))</f>
        <v>8.7825187229010638E-7</v>
      </c>
      <c r="T28" s="3">
        <f>Table112[[#This Row],[M (KN.mm)]]/(Table112[[#This Row],[a (mm)]]^2*$AI$3*Table112[[#This Row],[h (mm)]])</f>
        <v>1.9366579747935681E-6</v>
      </c>
      <c r="U28" s="3">
        <f>Table112[[#This Row],[M (KN.mm)]]/($AI$3*Table112[[#This Row],[d (mm)]]*Table112[[#This Row],[pho (%)]])</f>
        <v>0.24586641673592813</v>
      </c>
      <c r="V28" s="3">
        <f>E28*224.8/(2*SQRT($AI$4*145.037)*$AI$3*Table112[[#This Row],[d (mm)]]*(1/25.4)^2)</f>
        <v>0.91209433888702773</v>
      </c>
      <c r="W28" s="3">
        <f>Table112[[#This Row],[M (KN.mm)]]/$G$32</f>
        <v>0.5636363636363636</v>
      </c>
      <c r="X28" s="3">
        <f t="shared" si="6"/>
        <v>0.91209433888702773</v>
      </c>
      <c r="Y28" s="7">
        <v>390</v>
      </c>
      <c r="Z28" s="7">
        <v>210</v>
      </c>
      <c r="AA28" s="7">
        <v>236</v>
      </c>
      <c r="AB28" s="7">
        <v>565.49</v>
      </c>
      <c r="AC28" s="3">
        <f t="shared" si="9"/>
        <v>1.3464047619047619</v>
      </c>
      <c r="AD28" s="7">
        <v>629</v>
      </c>
      <c r="AE28" s="7">
        <f t="shared" si="7"/>
        <v>5476704357.9662561</v>
      </c>
      <c r="AF28" s="68">
        <f t="shared" si="8"/>
        <v>1369193333.3333333</v>
      </c>
      <c r="AH28" s="1"/>
    </row>
    <row r="29" spans="1:34" x14ac:dyDescent="0.25">
      <c r="A29" s="214" t="s">
        <v>44</v>
      </c>
      <c r="B29" s="215">
        <v>35</v>
      </c>
      <c r="C29" s="160">
        <v>3</v>
      </c>
      <c r="D29" s="3">
        <f>Table112[[#This Row],[a (mm)]]/Table112[[#This Row],[d (mm)]]</f>
        <v>1.8571428571428572</v>
      </c>
      <c r="E29" s="13">
        <f>85/2</f>
        <v>42.5</v>
      </c>
      <c r="F29" s="3">
        <f>Table112[[#This Row],[d (mm)]]</f>
        <v>210</v>
      </c>
      <c r="G29" s="3">
        <f t="shared" si="0"/>
        <v>16575</v>
      </c>
      <c r="H29" s="3">
        <f t="shared" si="1"/>
        <v>4.5964874558579731E-7</v>
      </c>
      <c r="I29" s="3">
        <f t="shared" si="2"/>
        <v>3.0068027210884354E-4</v>
      </c>
      <c r="J29" s="3">
        <f t="shared" si="3"/>
        <v>0.22190069759434378</v>
      </c>
      <c r="K29" s="3">
        <f t="shared" si="4"/>
        <v>2.4713825984501231E-7</v>
      </c>
      <c r="L29" s="3">
        <f t="shared" si="5"/>
        <v>1.0119047619047618E-3</v>
      </c>
      <c r="M29" s="3">
        <f>Table112[[#This Row],[M (KN.mm)]]/($AI$3*Table112[[#This Row],[d (mm)]])</f>
        <v>0.39464285714285713</v>
      </c>
      <c r="N29" s="3">
        <f>Table112[[#This Row],[M (KN.mm)]]/($AI$3*Table112[[#This Row],[h (mm)]])</f>
        <v>0.35116525423728812</v>
      </c>
      <c r="O29" s="3">
        <f>Table112[[#This Row],[M (KN.mm)]]/($AI$3*Table112[[#This Row],[h (mm)]]*$AI$2)</f>
        <v>2.8093220338983049E-4</v>
      </c>
      <c r="P29" s="3">
        <f>Table112[[#This Row],[M (KN.mm)]]/($AI$3*Table112[[#This Row],[d (mm)]]*$AI$2)</f>
        <v>3.1571428571428571E-4</v>
      </c>
      <c r="Q29" s="3">
        <f>Table112[[#This Row],[M (KN.mm)]]/($AI$3*Table112[[#This Row],[h (mm)]]*$AI$2*$AI$4)</f>
        <v>8.9468854582748565E-6</v>
      </c>
      <c r="R29" s="3">
        <f>Table112[[#This Row],[M (KN.mm)]]/($AI$3*Table112[[#This Row],[h (mm)]]*($AI$2-Table112[[#This Row],[a (mm)]]))</f>
        <v>4.0833169097359085E-4</v>
      </c>
      <c r="S29" s="3">
        <f>Table112[[#This Row],[M (KN.mm)]]/(Table112[[#This Row],[a (mm)]]*$AI$3*Table112[[#This Row],[h (mm)]]*($AI$2-Table112[[#This Row],[a (mm)]]))</f>
        <v>1.0470043358297201E-6</v>
      </c>
      <c r="T29" s="3">
        <f>Table112[[#This Row],[M (KN.mm)]]/(Table112[[#This Row],[a (mm)]]^2*$AI$3*Table112[[#This Row],[h (mm)]])</f>
        <v>2.3087787918296392E-6</v>
      </c>
      <c r="U29" s="3">
        <f>Table112[[#This Row],[M (KN.mm)]]/($AI$3*Table112[[#This Row],[d (mm)]]*Table112[[#This Row],[pho (%)]])</f>
        <v>0.29310863145236876</v>
      </c>
      <c r="V29" s="3">
        <f>E29*224.8/(2*SQRT($AI$4*145.037)*$AI$3*Table112[[#This Row],[d (mm)]]*(1/25.4)^2)</f>
        <v>1.0873494923618143</v>
      </c>
      <c r="W29" s="3">
        <f>Table112[[#This Row],[M (KN.mm)]]/$G$32</f>
        <v>0.67193675889328064</v>
      </c>
      <c r="X29" s="3">
        <f t="shared" si="6"/>
        <v>1.0873494923618143</v>
      </c>
      <c r="Y29" s="7">
        <v>390</v>
      </c>
      <c r="Z29" s="7">
        <v>210</v>
      </c>
      <c r="AA29" s="7">
        <v>236</v>
      </c>
      <c r="AB29" s="7">
        <v>565.49</v>
      </c>
      <c r="AC29" s="3">
        <f t="shared" si="9"/>
        <v>1.3464047619047619</v>
      </c>
      <c r="AD29" s="7">
        <v>629</v>
      </c>
      <c r="AE29" s="7">
        <f t="shared" si="7"/>
        <v>5476704357.9662561</v>
      </c>
      <c r="AF29" s="68">
        <f t="shared" si="8"/>
        <v>1369193333.3333333</v>
      </c>
      <c r="AH29" s="1"/>
    </row>
    <row r="30" spans="1:34" x14ac:dyDescent="0.25">
      <c r="A30" s="214" t="s">
        <v>44</v>
      </c>
      <c r="B30" s="215">
        <v>36</v>
      </c>
      <c r="C30" s="160">
        <v>4</v>
      </c>
      <c r="D30" s="3">
        <f>Table112[[#This Row],[a (mm)]]/Table112[[#This Row],[d (mm)]]</f>
        <v>1.8571428571428572</v>
      </c>
      <c r="E30" s="13">
        <f>94/2</f>
        <v>47</v>
      </c>
      <c r="F30" s="3">
        <f>Table112[[#This Row],[d (mm)]]</f>
        <v>210</v>
      </c>
      <c r="G30" s="3">
        <f t="shared" si="0"/>
        <v>18330</v>
      </c>
      <c r="H30" s="3">
        <f t="shared" si="1"/>
        <v>5.0831743629488171E-7</v>
      </c>
      <c r="I30" s="3">
        <f t="shared" si="2"/>
        <v>3.3251700680272109E-4</v>
      </c>
      <c r="J30" s="3">
        <f t="shared" si="3"/>
        <v>0.24539606557492136</v>
      </c>
      <c r="K30" s="3">
        <f t="shared" si="4"/>
        <v>2.7330584029919009E-7</v>
      </c>
      <c r="L30" s="3">
        <f t="shared" si="5"/>
        <v>1.1190476190476191E-3</v>
      </c>
      <c r="M30" s="3">
        <f>Table112[[#This Row],[M (KN.mm)]]/($AI$3*Table112[[#This Row],[d (mm)]])</f>
        <v>0.43642857142857144</v>
      </c>
      <c r="N30" s="3">
        <f>Table112[[#This Row],[M (KN.mm)]]/($AI$3*Table112[[#This Row],[h (mm)]])</f>
        <v>0.38834745762711864</v>
      </c>
      <c r="O30" s="3">
        <f>Table112[[#This Row],[M (KN.mm)]]/($AI$3*Table112[[#This Row],[h (mm)]]*$AI$2)</f>
        <v>3.1067796610169493E-4</v>
      </c>
      <c r="P30" s="3">
        <f>Table112[[#This Row],[M (KN.mm)]]/($AI$3*Table112[[#This Row],[d (mm)]]*$AI$2)</f>
        <v>3.4914285714285716E-4</v>
      </c>
      <c r="Q30" s="3">
        <f>Table112[[#This Row],[M (KN.mm)]]/($AI$3*Table112[[#This Row],[h (mm)]]*$AI$2*$AI$4)</f>
        <v>9.8942027420921954E-6</v>
      </c>
      <c r="R30" s="3">
        <f>Table112[[#This Row],[M (KN.mm)]]/($AI$3*Table112[[#This Row],[h (mm)]]*($AI$2-Table112[[#This Row],[a (mm)]]))</f>
        <v>4.5156681119432399E-4</v>
      </c>
      <c r="S30" s="3">
        <f>Table112[[#This Row],[M (KN.mm)]]/(Table112[[#This Row],[a (mm)]]*$AI$3*Table112[[#This Row],[h (mm)]]*($AI$2-Table112[[#This Row],[a (mm)]]))</f>
        <v>1.1578636184469847E-6</v>
      </c>
      <c r="T30" s="3">
        <f>Table112[[#This Row],[M (KN.mm)]]/(Table112[[#This Row],[a (mm)]]^2*$AI$3*Table112[[#This Row],[h (mm)]])</f>
        <v>2.5532377227292482E-6</v>
      </c>
      <c r="U30" s="3">
        <f>Table112[[#This Row],[M (KN.mm)]]/($AI$3*Table112[[#This Row],[d (mm)]]*Table112[[#This Row],[pho (%)]])</f>
        <v>0.32414366301791364</v>
      </c>
      <c r="V30" s="3">
        <f>E30*224.8/(2*SQRT($AI$4*145.037)*$AI$3*Table112[[#This Row],[d (mm)]]*(1/25.4)^2)</f>
        <v>1.2024806150824769</v>
      </c>
      <c r="W30" s="3">
        <f>Table112[[#This Row],[M (KN.mm)]]/$G$32</f>
        <v>0.74308300395256921</v>
      </c>
      <c r="X30" s="3">
        <f t="shared" si="6"/>
        <v>1.2024806150824769</v>
      </c>
      <c r="Y30" s="7">
        <v>390</v>
      </c>
      <c r="Z30" s="7">
        <v>210</v>
      </c>
      <c r="AA30" s="7">
        <v>236</v>
      </c>
      <c r="AB30" s="7">
        <v>565.49</v>
      </c>
      <c r="AC30" s="3">
        <f t="shared" si="9"/>
        <v>1.3464047619047619</v>
      </c>
      <c r="AD30" s="7">
        <v>629</v>
      </c>
      <c r="AE30" s="7">
        <f t="shared" si="7"/>
        <v>5476704357.9662561</v>
      </c>
      <c r="AF30" s="68">
        <f t="shared" si="8"/>
        <v>1369193333.3333333</v>
      </c>
    </row>
    <row r="31" spans="1:34" x14ac:dyDescent="0.25">
      <c r="A31" s="214" t="s">
        <v>44</v>
      </c>
      <c r="B31" s="215">
        <v>37</v>
      </c>
      <c r="C31" s="160">
        <v>5</v>
      </c>
      <c r="D31" s="3">
        <f>Table112[[#This Row],[a (mm)]]/Table112[[#This Row],[d (mm)]]</f>
        <v>1.8571428571428572</v>
      </c>
      <c r="E31" s="3">
        <f>124/2</f>
        <v>62</v>
      </c>
      <c r="F31" s="3">
        <f>Table112[[#This Row],[d (mm)]]</f>
        <v>210</v>
      </c>
      <c r="G31" s="3">
        <f t="shared" si="0"/>
        <v>24180</v>
      </c>
      <c r="H31" s="3">
        <f t="shared" si="1"/>
        <v>6.705464053251631E-7</v>
      </c>
      <c r="I31" s="3">
        <f t="shared" si="2"/>
        <v>4.3863945578231293E-4</v>
      </c>
      <c r="J31" s="3">
        <f t="shared" si="3"/>
        <v>0.32371395884351328</v>
      </c>
      <c r="K31" s="3">
        <f t="shared" si="4"/>
        <v>3.6053110847978266E-7</v>
      </c>
      <c r="L31" s="3">
        <f t="shared" si="5"/>
        <v>1.4761904761904762E-3</v>
      </c>
      <c r="M31" s="3">
        <f>Table112[[#This Row],[M (KN.mm)]]/($AI$3*Table112[[#This Row],[d (mm)]])</f>
        <v>0.57571428571428573</v>
      </c>
      <c r="N31" s="3">
        <f>Table112[[#This Row],[M (KN.mm)]]/($AI$3*Table112[[#This Row],[h (mm)]])</f>
        <v>0.51228813559322028</v>
      </c>
      <c r="O31" s="3">
        <f>Table112[[#This Row],[M (KN.mm)]]/($AI$3*Table112[[#This Row],[h (mm)]]*$AI$2)</f>
        <v>4.0983050847457627E-4</v>
      </c>
      <c r="P31" s="3">
        <f>Table112[[#This Row],[M (KN.mm)]]/($AI$3*Table112[[#This Row],[d (mm)]]*$AI$2)</f>
        <v>4.6057142857142857E-4</v>
      </c>
      <c r="Q31" s="3">
        <f>Table112[[#This Row],[M (KN.mm)]]/($AI$3*Table112[[#This Row],[h (mm)]]*$AI$2*$AI$4)</f>
        <v>1.305192702148332E-5</v>
      </c>
      <c r="R31" s="3">
        <f>Table112[[#This Row],[M (KN.mm)]]/($AI$3*Table112[[#This Row],[h (mm)]]*($AI$2-Table112[[#This Row],[a (mm)]]))</f>
        <v>5.9568387859676789E-4</v>
      </c>
      <c r="S31" s="3">
        <f>Table112[[#This Row],[M (KN.mm)]]/(Table112[[#This Row],[a (mm)]]*$AI$3*Table112[[#This Row],[h (mm)]]*($AI$2-Table112[[#This Row],[a (mm)]]))</f>
        <v>1.527394560504533E-6</v>
      </c>
      <c r="T31" s="3">
        <f>Table112[[#This Row],[M (KN.mm)]]/(Table112[[#This Row],[a (mm)]]^2*$AI$3*Table112[[#This Row],[h (mm)]])</f>
        <v>3.3681008257279443E-6</v>
      </c>
      <c r="U31" s="3">
        <f>Table112[[#This Row],[M (KN.mm)]]/($AI$3*Table112[[#This Row],[d (mm)]]*Table112[[#This Row],[pho (%)]])</f>
        <v>0.42759376823639678</v>
      </c>
      <c r="V31" s="3">
        <f>E31*224.8/(2*SQRT($AI$4*145.037)*$AI$3*Table112[[#This Row],[d (mm)]]*(1/25.4)^2)</f>
        <v>1.5862510241513528</v>
      </c>
      <c r="W31" s="3">
        <f>Table112[[#This Row],[M (KN.mm)]]/$G$32</f>
        <v>0.98023715415019763</v>
      </c>
      <c r="X31" s="3">
        <f t="shared" si="6"/>
        <v>1.5862510241513528</v>
      </c>
      <c r="Y31" s="7">
        <v>390</v>
      </c>
      <c r="Z31" s="7">
        <v>210</v>
      </c>
      <c r="AA31" s="7">
        <v>236</v>
      </c>
      <c r="AB31" s="7">
        <v>565.49</v>
      </c>
      <c r="AC31" s="3">
        <f t="shared" si="9"/>
        <v>1.3464047619047619</v>
      </c>
      <c r="AD31" s="7">
        <v>629</v>
      </c>
      <c r="AE31" s="7">
        <f t="shared" si="7"/>
        <v>5476704357.9662561</v>
      </c>
      <c r="AF31" s="68">
        <f t="shared" si="8"/>
        <v>1369193333.3333333</v>
      </c>
    </row>
    <row r="32" spans="1:34" x14ac:dyDescent="0.25">
      <c r="A32" s="214" t="s">
        <v>44</v>
      </c>
      <c r="B32" s="215">
        <v>38</v>
      </c>
      <c r="C32" s="160">
        <v>6</v>
      </c>
      <c r="D32" s="3">
        <f>Table112[[#This Row],[a (mm)]]/Table112[[#This Row],[d (mm)]]</f>
        <v>1.8571428571428572</v>
      </c>
      <c r="E32" s="3">
        <f>126.5/2</f>
        <v>63.25</v>
      </c>
      <c r="F32" s="3">
        <f>Table112[[#This Row],[d (mm)]]</f>
        <v>210</v>
      </c>
      <c r="G32" s="3">
        <f t="shared" si="0"/>
        <v>24667.5</v>
      </c>
      <c r="H32" s="3">
        <f t="shared" si="1"/>
        <v>6.8406548607768657E-7</v>
      </c>
      <c r="I32" s="3">
        <f t="shared" si="2"/>
        <v>4.4748299319727889E-4</v>
      </c>
      <c r="J32" s="3">
        <f t="shared" si="3"/>
        <v>0.33024044994922924</v>
      </c>
      <c r="K32" s="3">
        <f t="shared" si="4"/>
        <v>3.6779988082816538E-7</v>
      </c>
      <c r="L32" s="3">
        <f t="shared" si="5"/>
        <v>1.505952380952381E-3</v>
      </c>
      <c r="M32" s="3">
        <f>Table112[[#This Row],[M (KN.mm)]]/($AI$3*Table112[[#This Row],[d (mm)]])</f>
        <v>0.58732142857142855</v>
      </c>
      <c r="N32" s="3">
        <f>Table112[[#This Row],[M (KN.mm)]]/($AI$3*Table112[[#This Row],[h (mm)]])</f>
        <v>0.52261652542372883</v>
      </c>
      <c r="O32" s="3">
        <f>Table112[[#This Row],[M (KN.mm)]]/($AI$3*Table112[[#This Row],[h (mm)]]*$AI$2)</f>
        <v>4.1809322033898303E-4</v>
      </c>
      <c r="P32" s="3">
        <f>Table112[[#This Row],[M (KN.mm)]]/($AI$3*Table112[[#This Row],[d (mm)]]*$AI$2)</f>
        <v>4.6985714285714285E-4</v>
      </c>
      <c r="Q32" s="3">
        <f>Table112[[#This Row],[M (KN.mm)]]/($AI$3*Table112[[#This Row],[h (mm)]]*$AI$2*$AI$4)</f>
        <v>1.3315070711432581E-5</v>
      </c>
      <c r="R32" s="3">
        <f>Table112[[#This Row],[M (KN.mm)]]/($AI$3*Table112[[#This Row],[h (mm)]]*($AI$2-Table112[[#This Row],[a (mm)]]))</f>
        <v>6.0769363421363817E-4</v>
      </c>
      <c r="S32" s="3">
        <f>Table112[[#This Row],[M (KN.mm)]]/(Table112[[#This Row],[a (mm)]]*$AI$3*Table112[[#This Row],[h (mm)]]*($AI$2-Table112[[#This Row],[a (mm)]]))</f>
        <v>1.5581888056759953E-6</v>
      </c>
      <c r="T32" s="3">
        <f>Table112[[#This Row],[M (KN.mm)]]/(Table112[[#This Row],[a (mm)]]^2*$AI$3*Table112[[#This Row],[h (mm)]])</f>
        <v>3.4360060843111693E-6</v>
      </c>
      <c r="U32" s="3">
        <f>Table112[[#This Row],[M (KN.mm)]]/($AI$3*Table112[[#This Row],[d (mm)]]*Table112[[#This Row],[pho (%)]])</f>
        <v>0.43621461033793701</v>
      </c>
      <c r="V32" s="3">
        <f>E32*224.8/(2*SQRT($AI$4*145.037)*$AI$3*Table112[[#This Row],[d (mm)]]*(1/25.4)^2)</f>
        <v>1.618231891573759</v>
      </c>
      <c r="W32" s="3">
        <f>Table112[[#This Row],[M (KN.mm)]]/$G$32</f>
        <v>1</v>
      </c>
      <c r="X32" s="3">
        <f t="shared" si="6"/>
        <v>1.618231891573759</v>
      </c>
      <c r="Y32" s="7">
        <v>390</v>
      </c>
      <c r="Z32" s="7">
        <v>210</v>
      </c>
      <c r="AA32" s="7">
        <v>236</v>
      </c>
      <c r="AB32" s="7">
        <v>565.49</v>
      </c>
      <c r="AC32" s="3">
        <f t="shared" si="9"/>
        <v>1.3464047619047619</v>
      </c>
      <c r="AD32" s="7">
        <v>629</v>
      </c>
      <c r="AE32" s="7">
        <f t="shared" si="7"/>
        <v>5476704357.9662561</v>
      </c>
      <c r="AF32" s="68">
        <f t="shared" si="8"/>
        <v>1369193333.3333333</v>
      </c>
    </row>
    <row r="33" spans="1:32" x14ac:dyDescent="0.25">
      <c r="A33" s="216" t="s">
        <v>45</v>
      </c>
      <c r="B33" s="217">
        <v>39</v>
      </c>
      <c r="C33" s="3">
        <v>2</v>
      </c>
      <c r="D33" s="3">
        <f>Table112[[#This Row],[a (mm)]]/Table112[[#This Row],[d (mm)]]</f>
        <v>1.8571428571428572</v>
      </c>
      <c r="E33" s="3">
        <f>104/2</f>
        <v>52</v>
      </c>
      <c r="F33" s="3">
        <f>Table112[[#This Row],[d (mm)]]</f>
        <v>210</v>
      </c>
      <c r="G33" s="3">
        <f t="shared" si="0"/>
        <v>20280</v>
      </c>
      <c r="H33" s="3">
        <f t="shared" si="1"/>
        <v>5.6239375930497551E-7</v>
      </c>
      <c r="I33" s="3">
        <f t="shared" si="2"/>
        <v>3.6789115646258504E-4</v>
      </c>
      <c r="J33" s="3">
        <f t="shared" si="3"/>
        <v>0.27150202999778533</v>
      </c>
      <c r="K33" s="3">
        <f t="shared" si="4"/>
        <v>3.0238092969272093E-7</v>
      </c>
      <c r="L33" s="3">
        <f t="shared" si="5"/>
        <v>1.238095238095238E-3</v>
      </c>
      <c r="M33" s="3">
        <f>Table112[[#This Row],[M (KN.mm)]]/($AI$3*Table112[[#This Row],[d (mm)]])</f>
        <v>0.48285714285714287</v>
      </c>
      <c r="N33" s="3">
        <f>Table112[[#This Row],[M (KN.mm)]]/($AI$3*Table112[[#This Row],[h (mm)]])</f>
        <v>0.42966101694915254</v>
      </c>
      <c r="O33" s="3">
        <f>Table112[[#This Row],[M (KN.mm)]]/($AI$3*Table112[[#This Row],[h (mm)]]*$AI$2)</f>
        <v>3.4372881355932203E-4</v>
      </c>
      <c r="P33" s="3">
        <f>Table112[[#This Row],[M (KN.mm)]]/($AI$3*Table112[[#This Row],[d (mm)]]*$AI$2)</f>
        <v>3.8628571428571428E-4</v>
      </c>
      <c r="Q33" s="3">
        <f>Table112[[#This Row],[M (KN.mm)]]/($AI$3*Table112[[#This Row],[h (mm)]]*$AI$2*$AI$4)</f>
        <v>1.0946777501889236E-5</v>
      </c>
      <c r="R33" s="3">
        <f>Table112[[#This Row],[M (KN.mm)]]/($AI$3*Table112[[#This Row],[h (mm)]]*($AI$2-Table112[[#This Row],[a (mm)]]))</f>
        <v>4.9960583366180525E-4</v>
      </c>
      <c r="S33" s="3">
        <f>Table112[[#This Row],[M (KN.mm)]]/(Table112[[#This Row],[a (mm)]]*$AI$3*Table112[[#This Row],[h (mm)]]*($AI$2-Table112[[#This Row],[a (mm)]]))</f>
        <v>1.2810405991328341E-6</v>
      </c>
      <c r="T33" s="3">
        <f>Table112[[#This Row],[M (KN.mm)]]/(Table112[[#This Row],[a (mm)]]^2*$AI$3*Table112[[#This Row],[h (mm)]])</f>
        <v>2.8248587570621469E-6</v>
      </c>
      <c r="U33" s="3">
        <f>Table112[[#This Row],[M (KN.mm)]]/($AI$3*Table112[[#This Row],[d (mm)]]*Table112[[#This Row],[pho (%)]])</f>
        <v>0.3586270314240747</v>
      </c>
      <c r="V33" s="3">
        <f>E33*224.8/(2*SQRT($AI$4*145.037)*$AI$3*Table112[[#This Row],[d (mm)]]*(1/25.4)^2)</f>
        <v>1.3304040847721021</v>
      </c>
      <c r="W33" s="3">
        <f>Table112[[#This Row],[M (KN.mm)]]/$G$37</f>
        <v>0.74179743223965777</v>
      </c>
      <c r="X33" s="3">
        <f t="shared" si="6"/>
        <v>1.3304040847721021</v>
      </c>
      <c r="Y33" s="7">
        <v>390</v>
      </c>
      <c r="Z33" s="7">
        <v>210</v>
      </c>
      <c r="AA33" s="7">
        <v>236</v>
      </c>
      <c r="AB33" s="7">
        <v>565.49</v>
      </c>
      <c r="AC33" s="3">
        <f t="shared" si="9"/>
        <v>1.3464047619047619</v>
      </c>
      <c r="AD33" s="7">
        <v>629</v>
      </c>
      <c r="AE33" s="7">
        <f t="shared" si="7"/>
        <v>5476704357.9662561</v>
      </c>
      <c r="AF33" s="68">
        <f t="shared" si="8"/>
        <v>1369193333.3333333</v>
      </c>
    </row>
    <row r="34" spans="1:32" x14ac:dyDescent="0.25">
      <c r="A34" s="216" t="s">
        <v>45</v>
      </c>
      <c r="B34" s="217">
        <v>40</v>
      </c>
      <c r="C34" s="3">
        <v>3</v>
      </c>
      <c r="D34" s="3">
        <f>Table112[[#This Row],[a (mm)]]/Table112[[#This Row],[d (mm)]]</f>
        <v>1.8571428571428572</v>
      </c>
      <c r="E34" s="3">
        <f>120/2</f>
        <v>60</v>
      </c>
      <c r="F34" s="3">
        <f>Table112[[#This Row],[d (mm)]]</f>
        <v>210</v>
      </c>
      <c r="G34" s="3">
        <f t="shared" si="0"/>
        <v>23400</v>
      </c>
      <c r="H34" s="3">
        <f t="shared" si="1"/>
        <v>6.4891587612112564E-7</v>
      </c>
      <c r="I34" s="3">
        <f t="shared" si="2"/>
        <v>4.2448979591836735E-4</v>
      </c>
      <c r="J34" s="3">
        <f t="shared" si="3"/>
        <v>0.3132715730743677</v>
      </c>
      <c r="K34" s="3">
        <f t="shared" si="4"/>
        <v>3.4890107272237032E-7</v>
      </c>
      <c r="L34" s="3">
        <f t="shared" si="5"/>
        <v>1.4285714285714286E-3</v>
      </c>
      <c r="M34" s="3">
        <f>Table112[[#This Row],[M (KN.mm)]]/($AI$3*Table112[[#This Row],[d (mm)]])</f>
        <v>0.55714285714285716</v>
      </c>
      <c r="N34" s="3">
        <f>Table112[[#This Row],[M (KN.mm)]]/($AI$3*Table112[[#This Row],[h (mm)]])</f>
        <v>0.49576271186440679</v>
      </c>
      <c r="O34" s="3">
        <f>Table112[[#This Row],[M (KN.mm)]]/($AI$3*Table112[[#This Row],[h (mm)]]*$AI$2)</f>
        <v>3.966101694915254E-4</v>
      </c>
      <c r="P34" s="3">
        <f>Table112[[#This Row],[M (KN.mm)]]/($AI$3*Table112[[#This Row],[d (mm)]]*$AI$2)</f>
        <v>4.4571428571428572E-4</v>
      </c>
      <c r="Q34" s="3">
        <f>Table112[[#This Row],[M (KN.mm)]]/($AI$3*Table112[[#This Row],[h (mm)]]*$AI$2*$AI$4)</f>
        <v>1.2630897117564503E-5</v>
      </c>
      <c r="R34" s="3">
        <f>Table112[[#This Row],[M (KN.mm)]]/($AI$3*Table112[[#This Row],[h (mm)]]*($AI$2-Table112[[#This Row],[a (mm)]]))</f>
        <v>5.7646826960977527E-4</v>
      </c>
      <c r="S34" s="3">
        <f>Table112[[#This Row],[M (KN.mm)]]/(Table112[[#This Row],[a (mm)]]*$AI$3*Table112[[#This Row],[h (mm)]]*($AI$2-Table112[[#This Row],[a (mm)]]))</f>
        <v>1.4781237682301932E-6</v>
      </c>
      <c r="T34" s="3">
        <f>Table112[[#This Row],[M (KN.mm)]]/(Table112[[#This Row],[a (mm)]]^2*$AI$3*Table112[[#This Row],[h (mm)]])</f>
        <v>3.2594524119947849E-6</v>
      </c>
      <c r="U34" s="3">
        <f>Table112[[#This Row],[M (KN.mm)]]/($AI$3*Table112[[#This Row],[d (mm)]]*Table112[[#This Row],[pho (%)]])</f>
        <v>0.41380042087393232</v>
      </c>
      <c r="V34" s="3">
        <f>E34*224.8/(2*SQRT($AI$4*145.037)*$AI$3*Table112[[#This Row],[d (mm)]]*(1/25.4)^2)</f>
        <v>1.5350816362755026</v>
      </c>
      <c r="W34" s="3">
        <f>Table112[[#This Row],[M (KN.mm)]]/$G$37</f>
        <v>0.85592011412268199</v>
      </c>
      <c r="X34" s="3">
        <f t="shared" si="6"/>
        <v>1.5350816362755026</v>
      </c>
      <c r="Y34" s="7">
        <v>390</v>
      </c>
      <c r="Z34" s="7">
        <v>210</v>
      </c>
      <c r="AA34" s="7">
        <v>236</v>
      </c>
      <c r="AB34" s="7">
        <v>565.49</v>
      </c>
      <c r="AC34" s="3">
        <f t="shared" si="9"/>
        <v>1.3464047619047619</v>
      </c>
      <c r="AD34" s="7">
        <v>629</v>
      </c>
      <c r="AE34" s="7">
        <f t="shared" si="7"/>
        <v>5476704357.9662561</v>
      </c>
      <c r="AF34" s="68">
        <f t="shared" si="8"/>
        <v>1369193333.3333333</v>
      </c>
    </row>
    <row r="35" spans="1:32" x14ac:dyDescent="0.25">
      <c r="A35" s="216" t="s">
        <v>45</v>
      </c>
      <c r="B35" s="217">
        <v>41</v>
      </c>
      <c r="C35" s="3">
        <v>4</v>
      </c>
      <c r="D35" s="3">
        <f>Table112[[#This Row],[a (mm)]]/Table112[[#This Row],[d (mm)]]</f>
        <v>1.8571428571428572</v>
      </c>
      <c r="E35" s="3">
        <f>124/2</f>
        <v>62</v>
      </c>
      <c r="F35" s="3">
        <f>Table112[[#This Row],[d (mm)]]</f>
        <v>210</v>
      </c>
      <c r="G35" s="3">
        <f t="shared" si="0"/>
        <v>24180</v>
      </c>
      <c r="H35" s="3">
        <f t="shared" si="1"/>
        <v>6.705464053251631E-7</v>
      </c>
      <c r="I35" s="3">
        <f t="shared" si="2"/>
        <v>4.3863945578231293E-4</v>
      </c>
      <c r="J35" s="3">
        <f t="shared" si="3"/>
        <v>0.32371395884351328</v>
      </c>
      <c r="K35" s="3">
        <f t="shared" si="4"/>
        <v>3.6053110847978266E-7</v>
      </c>
      <c r="L35" s="3">
        <f t="shared" si="5"/>
        <v>1.4761904761904762E-3</v>
      </c>
      <c r="M35" s="3">
        <f>Table112[[#This Row],[M (KN.mm)]]/($AI$3*Table112[[#This Row],[d (mm)]])</f>
        <v>0.57571428571428573</v>
      </c>
      <c r="N35" s="3">
        <f>Table112[[#This Row],[M (KN.mm)]]/($AI$3*Table112[[#This Row],[h (mm)]])</f>
        <v>0.51228813559322028</v>
      </c>
      <c r="O35" s="3">
        <f>Table112[[#This Row],[M (KN.mm)]]/($AI$3*Table112[[#This Row],[h (mm)]]*$AI$2)</f>
        <v>4.0983050847457627E-4</v>
      </c>
      <c r="P35" s="3">
        <f>Table112[[#This Row],[M (KN.mm)]]/($AI$3*Table112[[#This Row],[d (mm)]]*$AI$2)</f>
        <v>4.6057142857142857E-4</v>
      </c>
      <c r="Q35" s="3">
        <f>Table112[[#This Row],[M (KN.mm)]]/($AI$3*Table112[[#This Row],[h (mm)]]*$AI$2*$AI$4)</f>
        <v>1.305192702148332E-5</v>
      </c>
      <c r="R35" s="3">
        <f>Table112[[#This Row],[M (KN.mm)]]/($AI$3*Table112[[#This Row],[h (mm)]]*($AI$2-Table112[[#This Row],[a (mm)]]))</f>
        <v>5.9568387859676789E-4</v>
      </c>
      <c r="S35" s="3">
        <f>Table112[[#This Row],[M (KN.mm)]]/(Table112[[#This Row],[a (mm)]]*$AI$3*Table112[[#This Row],[h (mm)]]*($AI$2-Table112[[#This Row],[a (mm)]]))</f>
        <v>1.527394560504533E-6</v>
      </c>
      <c r="T35" s="3">
        <f>Table112[[#This Row],[M (KN.mm)]]/(Table112[[#This Row],[a (mm)]]^2*$AI$3*Table112[[#This Row],[h (mm)]])</f>
        <v>3.3681008257279443E-6</v>
      </c>
      <c r="U35" s="3">
        <f>Table112[[#This Row],[M (KN.mm)]]/($AI$3*Table112[[#This Row],[d (mm)]]*Table112[[#This Row],[pho (%)]])</f>
        <v>0.42759376823639678</v>
      </c>
      <c r="V35" s="3">
        <f>E35*224.8/(2*SQRT($AI$4*145.037)*$AI$3*Table112[[#This Row],[d (mm)]]*(1/25.4)^2)</f>
        <v>1.5862510241513528</v>
      </c>
      <c r="W35" s="3">
        <f>Table112[[#This Row],[M (KN.mm)]]/$G$37</f>
        <v>0.88445078459343807</v>
      </c>
      <c r="X35" s="3">
        <f t="shared" si="6"/>
        <v>1.5862510241513528</v>
      </c>
      <c r="Y35" s="7">
        <v>390</v>
      </c>
      <c r="Z35" s="7">
        <v>210</v>
      </c>
      <c r="AA35" s="7">
        <v>236</v>
      </c>
      <c r="AB35" s="7">
        <v>565.49</v>
      </c>
      <c r="AC35" s="3">
        <f t="shared" si="9"/>
        <v>1.3464047619047619</v>
      </c>
      <c r="AD35" s="7">
        <v>629</v>
      </c>
      <c r="AE35" s="7">
        <f t="shared" si="7"/>
        <v>5476704357.9662561</v>
      </c>
      <c r="AF35" s="68">
        <f t="shared" si="8"/>
        <v>1369193333.3333333</v>
      </c>
    </row>
    <row r="36" spans="1:32" x14ac:dyDescent="0.25">
      <c r="A36" s="216" t="s">
        <v>45</v>
      </c>
      <c r="B36" s="217">
        <v>42</v>
      </c>
      <c r="C36" s="3">
        <v>5</v>
      </c>
      <c r="D36" s="3">
        <f>Table112[[#This Row],[a (mm)]]/Table112[[#This Row],[d (mm)]]</f>
        <v>1.8571428571428572</v>
      </c>
      <c r="E36" s="3">
        <f>133/2</f>
        <v>66.5</v>
      </c>
      <c r="F36" s="3">
        <f>Table112[[#This Row],[d (mm)]]</f>
        <v>210</v>
      </c>
      <c r="G36" s="3">
        <f t="shared" si="0"/>
        <v>25935</v>
      </c>
      <c r="H36" s="3">
        <f t="shared" si="1"/>
        <v>7.192150960342475E-7</v>
      </c>
      <c r="I36" s="3">
        <f t="shared" si="2"/>
        <v>4.7047619047619048E-4</v>
      </c>
      <c r="J36" s="3">
        <f t="shared" si="3"/>
        <v>0.34720932682409084</v>
      </c>
      <c r="K36" s="3">
        <f t="shared" si="4"/>
        <v>3.8669868893396044E-7</v>
      </c>
      <c r="L36" s="3">
        <f t="shared" si="5"/>
        <v>1.5833333333333333E-3</v>
      </c>
      <c r="M36" s="3">
        <f>Table112[[#This Row],[M (KN.mm)]]/($AI$3*Table112[[#This Row],[d (mm)]])</f>
        <v>0.61750000000000005</v>
      </c>
      <c r="N36" s="3">
        <f>Table112[[#This Row],[M (KN.mm)]]/($AI$3*Table112[[#This Row],[h (mm)]])</f>
        <v>0.54947033898305087</v>
      </c>
      <c r="O36" s="3">
        <f>Table112[[#This Row],[M (KN.mm)]]/($AI$3*Table112[[#This Row],[h (mm)]]*$AI$2)</f>
        <v>4.3957627118644066E-4</v>
      </c>
      <c r="P36" s="3">
        <f>Table112[[#This Row],[M (KN.mm)]]/($AI$3*Table112[[#This Row],[d (mm)]]*$AI$2)</f>
        <v>4.9399999999999997E-4</v>
      </c>
      <c r="Q36" s="3">
        <f>Table112[[#This Row],[M (KN.mm)]]/($AI$3*Table112[[#This Row],[h (mm)]]*$AI$2*$AI$4)</f>
        <v>1.3999244305300659E-5</v>
      </c>
      <c r="R36" s="3">
        <f>Table112[[#This Row],[M (KN.mm)]]/($AI$3*Table112[[#This Row],[h (mm)]]*($AI$2-Table112[[#This Row],[a (mm)]]))</f>
        <v>6.3891899881750097E-4</v>
      </c>
      <c r="S36" s="3">
        <f>Table112[[#This Row],[M (KN.mm)]]/(Table112[[#This Row],[a (mm)]]*$AI$3*Table112[[#This Row],[h (mm)]]*($AI$2-Table112[[#This Row],[a (mm)]]))</f>
        <v>1.6382538431217974E-6</v>
      </c>
      <c r="T36" s="3">
        <f>Table112[[#This Row],[M (KN.mm)]]/(Table112[[#This Row],[a (mm)]]^2*$AI$3*Table112[[#This Row],[h (mm)]])</f>
        <v>3.6125597566275532E-6</v>
      </c>
      <c r="U36" s="3">
        <f>Table112[[#This Row],[M (KN.mm)]]/($AI$3*Table112[[#This Row],[d (mm)]]*Table112[[#This Row],[pho (%)]])</f>
        <v>0.45862879980194166</v>
      </c>
      <c r="V36" s="3">
        <f>E36*224.8/(2*SQRT($AI$4*145.037)*$AI$3*Table112[[#This Row],[d (mm)]]*(1/25.4)^2)</f>
        <v>1.7013821468720154</v>
      </c>
      <c r="W36" s="3">
        <f>Table112[[#This Row],[M (KN.mm)]]/$G$37</f>
        <v>0.94864479315263917</v>
      </c>
      <c r="X36" s="3">
        <f t="shared" si="6"/>
        <v>1.7013821468720154</v>
      </c>
      <c r="Y36" s="7">
        <v>390</v>
      </c>
      <c r="Z36" s="7">
        <v>210</v>
      </c>
      <c r="AA36" s="7">
        <v>236</v>
      </c>
      <c r="AB36" s="7">
        <v>565.49</v>
      </c>
      <c r="AC36" s="3">
        <f t="shared" si="9"/>
        <v>1.3464047619047619</v>
      </c>
      <c r="AD36" s="7">
        <v>629</v>
      </c>
      <c r="AE36" s="7">
        <f t="shared" si="7"/>
        <v>5476704357.9662561</v>
      </c>
      <c r="AF36" s="68">
        <f t="shared" si="8"/>
        <v>1369193333.3333333</v>
      </c>
    </row>
    <row r="37" spans="1:32" x14ac:dyDescent="0.25">
      <c r="A37" s="216" t="s">
        <v>45</v>
      </c>
      <c r="B37" s="217">
        <v>43</v>
      </c>
      <c r="C37" s="3">
        <v>6</v>
      </c>
      <c r="D37" s="3">
        <f>Table112[[#This Row],[a (mm)]]/Table112[[#This Row],[d (mm)]]</f>
        <v>1.8571428571428572</v>
      </c>
      <c r="E37" s="3">
        <v>70.099999999999994</v>
      </c>
      <c r="F37" s="3">
        <f>Table112[[#This Row],[d (mm)]]</f>
        <v>210</v>
      </c>
      <c r="G37" s="3">
        <f t="shared" si="0"/>
        <v>27338.999999999996</v>
      </c>
      <c r="H37" s="3">
        <f t="shared" si="1"/>
        <v>7.5815004860151501E-7</v>
      </c>
      <c r="I37" s="3">
        <f t="shared" si="2"/>
        <v>4.9594557823129241E-4</v>
      </c>
      <c r="J37" s="3">
        <f t="shared" si="3"/>
        <v>0.36600562120855284</v>
      </c>
      <c r="K37" s="3">
        <f t="shared" si="4"/>
        <v>4.0763275329730262E-7</v>
      </c>
      <c r="L37" s="3">
        <f t="shared" si="5"/>
        <v>1.6690476190476188E-3</v>
      </c>
      <c r="M37" s="3">
        <f>Table112[[#This Row],[M (KN.mm)]]/($AI$3*Table112[[#This Row],[d (mm)]])</f>
        <v>0.6509285714285713</v>
      </c>
      <c r="N37" s="3">
        <f>Table112[[#This Row],[M (KN.mm)]]/($AI$3*Table112[[#This Row],[h (mm)]])</f>
        <v>0.57921610169491522</v>
      </c>
      <c r="O37" s="3">
        <f>Table112[[#This Row],[M (KN.mm)]]/($AI$3*Table112[[#This Row],[h (mm)]]*$AI$2)</f>
        <v>4.6337288135593212E-4</v>
      </c>
      <c r="P37" s="3">
        <f>Table112[[#This Row],[M (KN.mm)]]/($AI$3*Table112[[#This Row],[d (mm)]]*$AI$2)</f>
        <v>5.2074285714285705E-4</v>
      </c>
      <c r="Q37" s="3">
        <f>Table112[[#This Row],[M (KN.mm)]]/($AI$3*Table112[[#This Row],[h (mm)]]*$AI$2*$AI$4)</f>
        <v>1.4757098132354527E-5</v>
      </c>
      <c r="R37" s="3">
        <f>Table112[[#This Row],[M (KN.mm)]]/($AI$3*Table112[[#This Row],[h (mm)]]*($AI$2-Table112[[#This Row],[a (mm)]]))</f>
        <v>6.7350709499408741E-4</v>
      </c>
      <c r="S37" s="3">
        <f>Table112[[#This Row],[M (KN.mm)]]/(Table112[[#This Row],[a (mm)]]*$AI$3*Table112[[#This Row],[h (mm)]]*($AI$2-Table112[[#This Row],[a (mm)]]))</f>
        <v>1.7269412692156087E-6</v>
      </c>
      <c r="T37" s="3">
        <f>Table112[[#This Row],[M (KN.mm)]]/(Table112[[#This Row],[a (mm)]]^2*$AI$3*Table112[[#This Row],[h (mm)]])</f>
        <v>3.80812690134724E-6</v>
      </c>
      <c r="U37" s="3">
        <f>Table112[[#This Row],[M (KN.mm)]]/($AI$3*Table112[[#This Row],[d (mm)]]*Table112[[#This Row],[pho (%)]])</f>
        <v>0.48345682505437754</v>
      </c>
      <c r="V37" s="3">
        <f>E37*224.8/(2*SQRT($AI$4*145.037)*$AI$3*Table112[[#This Row],[d (mm)]]*(1/25.4)^2)</f>
        <v>1.7934870450485454</v>
      </c>
      <c r="W37" s="3">
        <f>Table112[[#This Row],[M (KN.mm)]]/$G$37</f>
        <v>1</v>
      </c>
      <c r="X37" s="3">
        <f t="shared" si="6"/>
        <v>1.7934870450485454</v>
      </c>
      <c r="Y37" s="7">
        <v>390</v>
      </c>
      <c r="Z37" s="7">
        <v>210</v>
      </c>
      <c r="AA37" s="7">
        <v>236</v>
      </c>
      <c r="AB37" s="7">
        <v>565.49</v>
      </c>
      <c r="AC37" s="3">
        <f t="shared" si="9"/>
        <v>1.3464047619047619</v>
      </c>
      <c r="AD37" s="7">
        <v>629</v>
      </c>
      <c r="AE37" s="7">
        <f t="shared" si="7"/>
        <v>5476704357.9662561</v>
      </c>
      <c r="AF37" s="68">
        <f t="shared" si="8"/>
        <v>1369193333.3333333</v>
      </c>
    </row>
    <row r="38" spans="1:32" x14ac:dyDescent="0.25">
      <c r="A38" s="193" t="s">
        <v>46</v>
      </c>
      <c r="B38" s="194">
        <v>44</v>
      </c>
      <c r="C38" s="3">
        <v>2</v>
      </c>
      <c r="D38" s="3">
        <f>Table112[[#This Row],[a (mm)]]/Table112[[#This Row],[d (mm)]]</f>
        <v>1.8571428571428572</v>
      </c>
      <c r="E38" s="3">
        <f>96/2</f>
        <v>48</v>
      </c>
      <c r="F38" s="3">
        <f>Table112[[#This Row],[d (mm)]]</f>
        <v>210</v>
      </c>
      <c r="G38" s="3">
        <f t="shared" si="0"/>
        <v>18720</v>
      </c>
      <c r="H38" s="3">
        <f t="shared" si="1"/>
        <v>5.1913270089690049E-7</v>
      </c>
      <c r="I38" s="3">
        <f t="shared" si="2"/>
        <v>3.3959183673469388E-4</v>
      </c>
      <c r="J38" s="3">
        <f t="shared" si="3"/>
        <v>0.25061725845949412</v>
      </c>
      <c r="K38" s="3">
        <f t="shared" si="4"/>
        <v>2.7912085817789626E-7</v>
      </c>
      <c r="L38" s="3">
        <f t="shared" si="5"/>
        <v>1.1428571428571429E-3</v>
      </c>
      <c r="M38" s="3">
        <f>Table112[[#This Row],[M (KN.mm)]]/($AI$3*Table112[[#This Row],[d (mm)]])</f>
        <v>0.44571428571428573</v>
      </c>
      <c r="N38" s="3">
        <f>Table112[[#This Row],[M (KN.mm)]]/($AI$3*Table112[[#This Row],[h (mm)]])</f>
        <v>0.39661016949152544</v>
      </c>
      <c r="O38" s="3">
        <f>Table112[[#This Row],[M (KN.mm)]]/($AI$3*Table112[[#This Row],[h (mm)]]*$AI$2)</f>
        <v>3.1728813559322034E-4</v>
      </c>
      <c r="P38" s="3">
        <f>Table112[[#This Row],[M (KN.mm)]]/($AI$3*Table112[[#This Row],[d (mm)]]*$AI$2)</f>
        <v>3.5657142857142859E-4</v>
      </c>
      <c r="Q38" s="3">
        <f>Table112[[#This Row],[M (KN.mm)]]/($AI$3*Table112[[#This Row],[h (mm)]]*$AI$2*$AI$4)</f>
        <v>1.0104717694051604E-5</v>
      </c>
      <c r="R38" s="3">
        <f>Table112[[#This Row],[M (KN.mm)]]/($AI$3*Table112[[#This Row],[h (mm)]]*($AI$2-Table112[[#This Row],[a (mm)]]))</f>
        <v>4.6117461568782024E-4</v>
      </c>
      <c r="S38" s="3">
        <f>Table112[[#This Row],[M (KN.mm)]]/(Table112[[#This Row],[a (mm)]]*$AI$3*Table112[[#This Row],[h (mm)]]*($AI$2-Table112[[#This Row],[a (mm)]]))</f>
        <v>1.1824990145841545E-6</v>
      </c>
      <c r="T38" s="3">
        <f>Table112[[#This Row],[M (KN.mm)]]/(Table112[[#This Row],[a (mm)]]^2*$AI$3*Table112[[#This Row],[h (mm)]])</f>
        <v>2.6075619295958281E-6</v>
      </c>
      <c r="U38" s="3">
        <f>Table112[[#This Row],[M (KN.mm)]]/($AI$3*Table112[[#This Row],[d (mm)]]*Table112[[#This Row],[pho (%)]])</f>
        <v>0.3310403366991459</v>
      </c>
      <c r="V38" s="3">
        <f>E38*224.8/(2*SQRT($AI$4*145.037)*$AI$3*Table112[[#This Row],[d (mm)]]*(1/25.4)^2)</f>
        <v>1.2280653090204021</v>
      </c>
      <c r="W38" s="3">
        <f>Table112[[#This Row],[M (KN.mm)]]/$G$40</f>
        <v>0.77419354838709675</v>
      </c>
      <c r="X38" s="3">
        <f t="shared" si="6"/>
        <v>1.2280653090204021</v>
      </c>
      <c r="Y38" s="7">
        <v>390</v>
      </c>
      <c r="Z38" s="7">
        <v>210</v>
      </c>
      <c r="AA38" s="7">
        <v>236</v>
      </c>
      <c r="AB38" s="7">
        <v>565.49</v>
      </c>
      <c r="AC38" s="3">
        <f t="shared" si="9"/>
        <v>1.3464047619047619</v>
      </c>
      <c r="AD38" s="7">
        <v>629</v>
      </c>
      <c r="AE38" s="7">
        <f t="shared" si="7"/>
        <v>5476704357.9662561</v>
      </c>
      <c r="AF38" s="68">
        <f t="shared" si="8"/>
        <v>1369193333.3333333</v>
      </c>
    </row>
    <row r="39" spans="1:32" x14ac:dyDescent="0.25">
      <c r="A39" s="193" t="s">
        <v>46</v>
      </c>
      <c r="B39" s="194">
        <v>45</v>
      </c>
      <c r="C39" s="3">
        <v>3</v>
      </c>
      <c r="D39" s="3">
        <f>Table112[[#This Row],[a (mm)]]/Table112[[#This Row],[d (mm)]]</f>
        <v>1.8571428571428572</v>
      </c>
      <c r="E39" s="3">
        <f>120/2</f>
        <v>60</v>
      </c>
      <c r="F39" s="3">
        <f>Table112[[#This Row],[d (mm)]]</f>
        <v>210</v>
      </c>
      <c r="G39" s="3">
        <f t="shared" si="0"/>
        <v>23400</v>
      </c>
      <c r="H39" s="3">
        <f t="shared" si="1"/>
        <v>6.4891587612112564E-7</v>
      </c>
      <c r="I39" s="3">
        <f t="shared" si="2"/>
        <v>4.2448979591836735E-4</v>
      </c>
      <c r="J39" s="3">
        <f t="shared" si="3"/>
        <v>0.3132715730743677</v>
      </c>
      <c r="K39" s="3">
        <f t="shared" si="4"/>
        <v>3.4890107272237032E-7</v>
      </c>
      <c r="L39" s="3">
        <f t="shared" si="5"/>
        <v>1.4285714285714286E-3</v>
      </c>
      <c r="M39" s="3">
        <f>Table112[[#This Row],[M (KN.mm)]]/($AI$3*Table112[[#This Row],[d (mm)]])</f>
        <v>0.55714285714285716</v>
      </c>
      <c r="N39" s="3">
        <f>Table112[[#This Row],[M (KN.mm)]]/($AI$3*Table112[[#This Row],[h (mm)]])</f>
        <v>0.49576271186440679</v>
      </c>
      <c r="O39" s="3">
        <f>Table112[[#This Row],[M (KN.mm)]]/($AI$3*Table112[[#This Row],[h (mm)]]*$AI$2)</f>
        <v>3.966101694915254E-4</v>
      </c>
      <c r="P39" s="3">
        <f>Table112[[#This Row],[M (KN.mm)]]/($AI$3*Table112[[#This Row],[d (mm)]]*$AI$2)</f>
        <v>4.4571428571428572E-4</v>
      </c>
      <c r="Q39" s="3">
        <f>Table112[[#This Row],[M (KN.mm)]]/($AI$3*Table112[[#This Row],[h (mm)]]*$AI$2*$AI$4)</f>
        <v>1.2630897117564503E-5</v>
      </c>
      <c r="R39" s="3">
        <f>Table112[[#This Row],[M (KN.mm)]]/($AI$3*Table112[[#This Row],[h (mm)]]*($AI$2-Table112[[#This Row],[a (mm)]]))</f>
        <v>5.7646826960977527E-4</v>
      </c>
      <c r="S39" s="3">
        <f>Table112[[#This Row],[M (KN.mm)]]/(Table112[[#This Row],[a (mm)]]*$AI$3*Table112[[#This Row],[h (mm)]]*($AI$2-Table112[[#This Row],[a (mm)]]))</f>
        <v>1.4781237682301932E-6</v>
      </c>
      <c r="T39" s="3">
        <f>Table112[[#This Row],[M (KN.mm)]]/(Table112[[#This Row],[a (mm)]]^2*$AI$3*Table112[[#This Row],[h (mm)]])</f>
        <v>3.2594524119947849E-6</v>
      </c>
      <c r="U39" s="3">
        <f>Table112[[#This Row],[M (KN.mm)]]/($AI$3*Table112[[#This Row],[d (mm)]]*Table112[[#This Row],[pho (%)]])</f>
        <v>0.41380042087393232</v>
      </c>
      <c r="V39" s="3">
        <f>E39*224.8/(2*SQRT($AI$4*145.037)*$AI$3*Table112[[#This Row],[d (mm)]]*(1/25.4)^2)</f>
        <v>1.5350816362755026</v>
      </c>
      <c r="W39" s="3">
        <f>Table112[[#This Row],[M (KN.mm)]]/$G$40</f>
        <v>0.967741935483871</v>
      </c>
      <c r="X39" s="3">
        <f t="shared" si="6"/>
        <v>1.5350816362755026</v>
      </c>
      <c r="Y39" s="7">
        <v>390</v>
      </c>
      <c r="Z39" s="7">
        <v>210</v>
      </c>
      <c r="AA39" s="7">
        <v>236</v>
      </c>
      <c r="AB39" s="7">
        <v>565.49</v>
      </c>
      <c r="AC39" s="3">
        <f t="shared" si="9"/>
        <v>1.3464047619047619</v>
      </c>
      <c r="AD39" s="7">
        <v>629</v>
      </c>
      <c r="AE39" s="7">
        <f t="shared" si="7"/>
        <v>5476704357.9662561</v>
      </c>
      <c r="AF39" s="68">
        <f t="shared" si="8"/>
        <v>1369193333.3333333</v>
      </c>
    </row>
    <row r="40" spans="1:32" x14ac:dyDescent="0.25">
      <c r="A40" s="193" t="s">
        <v>46</v>
      </c>
      <c r="B40" s="194">
        <v>46</v>
      </c>
      <c r="C40" s="3">
        <v>4</v>
      </c>
      <c r="D40" s="3">
        <f>Table112[[#This Row],[a (mm)]]/Table112[[#This Row],[d (mm)]]</f>
        <v>1.8571428571428572</v>
      </c>
      <c r="E40" s="3">
        <f>124/2</f>
        <v>62</v>
      </c>
      <c r="F40" s="3">
        <f>Table112[[#This Row],[d (mm)]]</f>
        <v>210</v>
      </c>
      <c r="G40" s="3">
        <f t="shared" si="0"/>
        <v>24180</v>
      </c>
      <c r="H40" s="3">
        <f t="shared" si="1"/>
        <v>6.705464053251631E-7</v>
      </c>
      <c r="I40" s="3">
        <f t="shared" si="2"/>
        <v>4.3863945578231293E-4</v>
      </c>
      <c r="J40" s="3">
        <f t="shared" si="3"/>
        <v>0.32371395884351328</v>
      </c>
      <c r="K40" s="3">
        <f t="shared" si="4"/>
        <v>3.6053110847978266E-7</v>
      </c>
      <c r="L40" s="3">
        <f t="shared" si="5"/>
        <v>1.4761904761904762E-3</v>
      </c>
      <c r="M40" s="3">
        <f>Table112[[#This Row],[M (KN.mm)]]/($AI$3*Table112[[#This Row],[d (mm)]])</f>
        <v>0.57571428571428573</v>
      </c>
      <c r="N40" s="3">
        <f>Table112[[#This Row],[M (KN.mm)]]/($AI$3*Table112[[#This Row],[h (mm)]])</f>
        <v>0.51228813559322028</v>
      </c>
      <c r="O40" s="3">
        <f>Table112[[#This Row],[M (KN.mm)]]/($AI$3*Table112[[#This Row],[h (mm)]]*$AI$2)</f>
        <v>4.0983050847457627E-4</v>
      </c>
      <c r="P40" s="3">
        <f>Table112[[#This Row],[M (KN.mm)]]/($AI$3*Table112[[#This Row],[d (mm)]]*$AI$2)</f>
        <v>4.6057142857142857E-4</v>
      </c>
      <c r="Q40" s="3">
        <f>Table112[[#This Row],[M (KN.mm)]]/($AI$3*Table112[[#This Row],[h (mm)]]*$AI$2*$AI$4)</f>
        <v>1.305192702148332E-5</v>
      </c>
      <c r="R40" s="3">
        <f>Table112[[#This Row],[M (KN.mm)]]/($AI$3*Table112[[#This Row],[h (mm)]]*($AI$2-Table112[[#This Row],[a (mm)]]))</f>
        <v>5.9568387859676789E-4</v>
      </c>
      <c r="S40" s="3">
        <f>Table112[[#This Row],[M (KN.mm)]]/(Table112[[#This Row],[a (mm)]]*$AI$3*Table112[[#This Row],[h (mm)]]*($AI$2-Table112[[#This Row],[a (mm)]]))</f>
        <v>1.527394560504533E-6</v>
      </c>
      <c r="T40" s="3">
        <f>Table112[[#This Row],[M (KN.mm)]]/(Table112[[#This Row],[a (mm)]]^2*$AI$3*Table112[[#This Row],[h (mm)]])</f>
        <v>3.3681008257279443E-6</v>
      </c>
      <c r="U40" s="3">
        <f>Table112[[#This Row],[M (KN.mm)]]/($AI$3*Table112[[#This Row],[d (mm)]]*Table112[[#This Row],[pho (%)]])</f>
        <v>0.42759376823639678</v>
      </c>
      <c r="V40" s="3">
        <f>E40*224.8/(2*SQRT($AI$4*145.037)*$AI$3*Table112[[#This Row],[d (mm)]]*(1/25.4)^2)</f>
        <v>1.5862510241513528</v>
      </c>
      <c r="W40" s="3">
        <f>Table112[[#This Row],[M (KN.mm)]]/$G$40</f>
        <v>1</v>
      </c>
      <c r="X40" s="3">
        <f t="shared" si="6"/>
        <v>1.5862510241513528</v>
      </c>
      <c r="Y40" s="7">
        <v>390</v>
      </c>
      <c r="Z40" s="7">
        <v>210</v>
      </c>
      <c r="AA40" s="7">
        <v>236</v>
      </c>
      <c r="AB40" s="7">
        <v>565.49</v>
      </c>
      <c r="AC40" s="3">
        <f t="shared" si="9"/>
        <v>1.3464047619047619</v>
      </c>
      <c r="AD40" s="7">
        <v>629</v>
      </c>
      <c r="AE40" s="7">
        <f t="shared" si="7"/>
        <v>5476704357.9662561</v>
      </c>
      <c r="AF40" s="68">
        <f t="shared" si="8"/>
        <v>1369193333.3333333</v>
      </c>
    </row>
    <row r="41" spans="1:32" x14ac:dyDescent="0.25">
      <c r="A41" s="218" t="s">
        <v>47</v>
      </c>
      <c r="B41" s="219">
        <v>47</v>
      </c>
      <c r="C41" s="44">
        <v>2</v>
      </c>
      <c r="D41" s="3">
        <f>Table112[[#This Row],[a (mm)]]/Table112[[#This Row],[d (mm)]]</f>
        <v>1.1400651465798046</v>
      </c>
      <c r="E41" s="44">
        <f>144/2</f>
        <v>72</v>
      </c>
      <c r="F41" s="3">
        <f>Table112[[#This Row],[d (mm)]]</f>
        <v>307</v>
      </c>
      <c r="G41" s="3">
        <f t="shared" si="0"/>
        <v>25200</v>
      </c>
      <c r="H41" s="3">
        <f t="shared" si="1"/>
        <v>2.4432880491857771E-7</v>
      </c>
      <c r="I41" s="3">
        <f t="shared" si="2"/>
        <v>2.1390147375568972E-4</v>
      </c>
      <c r="J41" s="3">
        <f t="shared" si="3"/>
        <v>0.16009984321770188</v>
      </c>
      <c r="K41" s="3">
        <f t="shared" si="4"/>
        <v>1.4638992638102107E-7</v>
      </c>
      <c r="L41" s="3">
        <f t="shared" si="5"/>
        <v>1.1726384364820848E-3</v>
      </c>
      <c r="M41" s="3">
        <f>Table112[[#This Row],[M (KN.mm)]]/($AI$3*Table112[[#This Row],[d (mm)]])</f>
        <v>0.41042345276872966</v>
      </c>
      <c r="N41" s="3">
        <f>Table112[[#This Row],[M (KN.mm)]]/($AI$3*Table112[[#This Row],[h (mm)]])</f>
        <v>0.37611940298507462</v>
      </c>
      <c r="O41" s="3">
        <f>Table112[[#This Row],[M (KN.mm)]]/($AI$3*Table112[[#This Row],[h (mm)]]*$AI$2)</f>
        <v>3.008955223880597E-4</v>
      </c>
      <c r="P41" s="3">
        <f>Table112[[#This Row],[M (KN.mm)]]/($AI$3*Table112[[#This Row],[d (mm)]]*$AI$2)</f>
        <v>3.2833876221498369E-4</v>
      </c>
      <c r="Q41" s="3">
        <f>Table112[[#This Row],[M (KN.mm)]]/($AI$3*Table112[[#This Row],[h (mm)]]*$AI$2*$AI$4)</f>
        <v>9.5826599486643209E-6</v>
      </c>
      <c r="R41" s="3">
        <f>Table112[[#This Row],[M (KN.mm)]]/($AI$3*Table112[[#This Row],[h (mm)]]*($AI$2-Table112[[#This Row],[a (mm)]]))</f>
        <v>4.1791044776119402E-4</v>
      </c>
      <c r="S41" s="3">
        <f>Table112[[#This Row],[M (KN.mm)]]/(Table112[[#This Row],[a (mm)]]*$AI$3*Table112[[#This Row],[h (mm)]]*($AI$2-Table112[[#This Row],[a (mm)]]))</f>
        <v>1.1940298507462686E-6</v>
      </c>
      <c r="T41" s="3">
        <f>Table112[[#This Row],[M (KN.mm)]]/(Table112[[#This Row],[a (mm)]]^2*$AI$3*Table112[[#This Row],[h (mm)]])</f>
        <v>3.0703624733475478E-6</v>
      </c>
      <c r="U41" s="3">
        <f>Table112[[#This Row],[M (KN.mm)]]/($AI$3*Table112[[#This Row],[d (mm)]]*Table112[[#This Row],[pho (%)]])</f>
        <v>0.31333540565744483</v>
      </c>
      <c r="V41" s="3">
        <f>E41*224.8/(2*SQRT($AI$4*145.037)*$AI$3*Table112[[#This Row],[d (mm)]]*(1/25.4)^2)</f>
        <v>1.2600670108841259</v>
      </c>
      <c r="W41" s="3">
        <f>Table112[[#This Row],[M (KN.mm)]]/$G$45</f>
        <v>0.47682119205298013</v>
      </c>
      <c r="X41" s="3">
        <f t="shared" si="6"/>
        <v>1.2600670108841259</v>
      </c>
      <c r="Y41" s="44">
        <v>350</v>
      </c>
      <c r="Z41" s="44">
        <v>307</v>
      </c>
      <c r="AA41" s="44">
        <v>335</v>
      </c>
      <c r="AB41" s="44">
        <v>804.25</v>
      </c>
      <c r="AC41" s="3">
        <f t="shared" si="9"/>
        <v>1.3098534201954397</v>
      </c>
      <c r="AD41" s="44">
        <v>637.5</v>
      </c>
      <c r="AE41" s="44">
        <f t="shared" si="7"/>
        <v>15663602593.836174</v>
      </c>
      <c r="AF41" s="71">
        <f t="shared" si="8"/>
        <v>3916184895.8333335</v>
      </c>
    </row>
    <row r="42" spans="1:32" x14ac:dyDescent="0.25">
      <c r="A42" s="218" t="s">
        <v>47</v>
      </c>
      <c r="B42" s="219">
        <v>48</v>
      </c>
      <c r="C42" s="44">
        <v>3</v>
      </c>
      <c r="D42" s="3">
        <f>Table112[[#This Row],[a (mm)]]/Table112[[#This Row],[d (mm)]]</f>
        <v>1.1400651465798046</v>
      </c>
      <c r="E42" s="44">
        <f>177/2</f>
        <v>88.5</v>
      </c>
      <c r="F42" s="3">
        <f>Table112[[#This Row],[d (mm)]]</f>
        <v>307</v>
      </c>
      <c r="G42" s="3">
        <f t="shared" si="0"/>
        <v>30975</v>
      </c>
      <c r="H42" s="3">
        <f t="shared" si="1"/>
        <v>3.0032082271241844E-7</v>
      </c>
      <c r="I42" s="3">
        <f t="shared" si="2"/>
        <v>2.6292056149136863E-4</v>
      </c>
      <c r="J42" s="3">
        <f t="shared" si="3"/>
        <v>0.19678939062175857</v>
      </c>
      <c r="K42" s="3">
        <f t="shared" si="4"/>
        <v>1.7993761784333839E-7</v>
      </c>
      <c r="L42" s="3">
        <f t="shared" si="5"/>
        <v>1.4413680781758958E-3</v>
      </c>
      <c r="M42" s="3">
        <f>Table112[[#This Row],[M (KN.mm)]]/($AI$3*Table112[[#This Row],[d (mm)]])</f>
        <v>0.50447882736156346</v>
      </c>
      <c r="N42" s="3">
        <f>Table112[[#This Row],[M (KN.mm)]]/($AI$3*Table112[[#This Row],[h (mm)]])</f>
        <v>0.46231343283582088</v>
      </c>
      <c r="O42" s="3">
        <f>Table112[[#This Row],[M (KN.mm)]]/($AI$3*Table112[[#This Row],[h (mm)]]*$AI$2)</f>
        <v>3.698507462686567E-4</v>
      </c>
      <c r="P42" s="3">
        <f>Table112[[#This Row],[M (KN.mm)]]/($AI$3*Table112[[#This Row],[d (mm)]]*$AI$2)</f>
        <v>4.0358306188925083E-4</v>
      </c>
      <c r="Q42" s="3">
        <f>Table112[[#This Row],[M (KN.mm)]]/($AI$3*Table112[[#This Row],[h (mm)]]*$AI$2*$AI$4)</f>
        <v>1.1778686186899895E-5</v>
      </c>
      <c r="R42" s="3">
        <f>Table112[[#This Row],[M (KN.mm)]]/($AI$3*Table112[[#This Row],[h (mm)]]*($AI$2-Table112[[#This Row],[a (mm)]]))</f>
        <v>5.1368159203980096E-4</v>
      </c>
      <c r="S42" s="3">
        <f>Table112[[#This Row],[M (KN.mm)]]/(Table112[[#This Row],[a (mm)]]*$AI$3*Table112[[#This Row],[h (mm)]]*($AI$2-Table112[[#This Row],[a (mm)]]))</f>
        <v>1.4676616915422885E-6</v>
      </c>
      <c r="T42" s="3">
        <f>Table112[[#This Row],[M (KN.mm)]]/(Table112[[#This Row],[a (mm)]]^2*$AI$3*Table112[[#This Row],[h (mm)]])</f>
        <v>3.7739872068230278E-6</v>
      </c>
      <c r="U42" s="3">
        <f>Table112[[#This Row],[M (KN.mm)]]/($AI$3*Table112[[#This Row],[d (mm)]]*Table112[[#This Row],[pho (%)]])</f>
        <v>0.38514143612060925</v>
      </c>
      <c r="V42" s="3">
        <f>E42*224.8/(2*SQRT($AI$4*145.037)*$AI$3*Table112[[#This Row],[d (mm)]]*(1/25.4)^2)</f>
        <v>1.5488323675450713</v>
      </c>
      <c r="W42" s="3">
        <f>Table112[[#This Row],[M (KN.mm)]]/$G$45</f>
        <v>0.58609271523178808</v>
      </c>
      <c r="X42" s="3">
        <f t="shared" si="6"/>
        <v>1.5488323675450713</v>
      </c>
      <c r="Y42" s="44">
        <v>350</v>
      </c>
      <c r="Z42" s="44">
        <v>307</v>
      </c>
      <c r="AA42" s="44">
        <v>335</v>
      </c>
      <c r="AB42" s="44">
        <v>804.25</v>
      </c>
      <c r="AC42" s="3">
        <f t="shared" si="9"/>
        <v>1.3098534201954397</v>
      </c>
      <c r="AD42" s="44">
        <v>637.5</v>
      </c>
      <c r="AE42" s="44">
        <f t="shared" si="7"/>
        <v>15663602593.836174</v>
      </c>
      <c r="AF42" s="71">
        <f t="shared" si="8"/>
        <v>3916184895.8333335</v>
      </c>
    </row>
    <row r="43" spans="1:32" x14ac:dyDescent="0.25">
      <c r="A43" s="218" t="s">
        <v>47</v>
      </c>
      <c r="B43" s="219">
        <v>49</v>
      </c>
      <c r="C43" s="44">
        <v>4</v>
      </c>
      <c r="D43" s="3">
        <f>Table112[[#This Row],[a (mm)]]/Table112[[#This Row],[d (mm)]]</f>
        <v>1.1400651465798046</v>
      </c>
      <c r="E43" s="44">
        <f>181/2</f>
        <v>90.5</v>
      </c>
      <c r="F43" s="3">
        <f>Table112[[#This Row],[d (mm)]]</f>
        <v>307</v>
      </c>
      <c r="G43" s="3">
        <f t="shared" si="0"/>
        <v>31675</v>
      </c>
      <c r="H43" s="3">
        <f t="shared" si="1"/>
        <v>3.0710773396015672E-7</v>
      </c>
      <c r="I43" s="3">
        <f t="shared" si="2"/>
        <v>2.6886226909569335E-4</v>
      </c>
      <c r="J43" s="3">
        <f t="shared" si="3"/>
        <v>0.20123660848891695</v>
      </c>
      <c r="K43" s="3">
        <f t="shared" si="4"/>
        <v>1.8400400468725567E-7</v>
      </c>
      <c r="L43" s="3">
        <f t="shared" si="5"/>
        <v>1.4739413680781759E-3</v>
      </c>
      <c r="M43" s="3">
        <f>Table112[[#This Row],[M (KN.mm)]]/($AI$3*Table112[[#This Row],[d (mm)]])</f>
        <v>0.51587947882736152</v>
      </c>
      <c r="N43" s="3">
        <f>Table112[[#This Row],[M (KN.mm)]]/($AI$3*Table112[[#This Row],[h (mm)]])</f>
        <v>0.47276119402985073</v>
      </c>
      <c r="O43" s="3">
        <f>Table112[[#This Row],[M (KN.mm)]]/($AI$3*Table112[[#This Row],[h (mm)]]*$AI$2)</f>
        <v>3.7820895522388062E-4</v>
      </c>
      <c r="P43" s="3">
        <f>Table112[[#This Row],[M (KN.mm)]]/($AI$3*Table112[[#This Row],[d (mm)]]*$AI$2)</f>
        <v>4.1270358306188924E-4</v>
      </c>
      <c r="Q43" s="3">
        <f>Table112[[#This Row],[M (KN.mm)]]/($AI$3*Table112[[#This Row],[h (mm)]]*$AI$2*$AI$4)</f>
        <v>1.2044871185473904E-5</v>
      </c>
      <c r="R43" s="3">
        <f>Table112[[#This Row],[M (KN.mm)]]/($AI$3*Table112[[#This Row],[h (mm)]]*($AI$2-Table112[[#This Row],[a (mm)]]))</f>
        <v>5.2529021558872307E-4</v>
      </c>
      <c r="S43" s="3">
        <f>Table112[[#This Row],[M (KN.mm)]]/(Table112[[#This Row],[a (mm)]]*$AI$3*Table112[[#This Row],[h (mm)]]*($AI$2-Table112[[#This Row],[a (mm)]]))</f>
        <v>1.5008291873963515E-6</v>
      </c>
      <c r="T43" s="3">
        <f>Table112[[#This Row],[M (KN.mm)]]/(Table112[[#This Row],[a (mm)]]^2*$AI$3*Table112[[#This Row],[h (mm)]])</f>
        <v>3.8592750533049044E-6</v>
      </c>
      <c r="U43" s="3">
        <f>Table112[[#This Row],[M (KN.mm)]]/($AI$3*Table112[[#This Row],[d (mm)]]*Table112[[#This Row],[pho (%)]])</f>
        <v>0.39384519738887164</v>
      </c>
      <c r="V43" s="3">
        <f>E43*224.8/(2*SQRT($AI$4*145.037)*$AI$3*Table112[[#This Row],[d (mm)]]*(1/25.4)^2)</f>
        <v>1.5838342289585194</v>
      </c>
      <c r="W43" s="3">
        <f>Table112[[#This Row],[M (KN.mm)]]/$G$45</f>
        <v>0.59933774834437081</v>
      </c>
      <c r="X43" s="3">
        <f t="shared" si="6"/>
        <v>1.5838342289585194</v>
      </c>
      <c r="Y43" s="44">
        <v>350</v>
      </c>
      <c r="Z43" s="44">
        <v>307</v>
      </c>
      <c r="AA43" s="44">
        <v>335</v>
      </c>
      <c r="AB43" s="44">
        <v>804.25</v>
      </c>
      <c r="AC43" s="3">
        <f t="shared" si="9"/>
        <v>1.3098534201954397</v>
      </c>
      <c r="AD43" s="44">
        <v>637.5</v>
      </c>
      <c r="AE43" s="44">
        <f t="shared" si="7"/>
        <v>15663602593.836174</v>
      </c>
      <c r="AF43" s="71">
        <f t="shared" si="8"/>
        <v>3916184895.8333335</v>
      </c>
    </row>
    <row r="44" spans="1:32" x14ac:dyDescent="0.25">
      <c r="A44" s="218" t="s">
        <v>47</v>
      </c>
      <c r="B44" s="219">
        <v>50</v>
      </c>
      <c r="C44" s="44">
        <v>5</v>
      </c>
      <c r="D44" s="3">
        <f>Table112[[#This Row],[a (mm)]]/Table112[[#This Row],[d (mm)]]</f>
        <v>1.1400651465798046</v>
      </c>
      <c r="E44" s="44">
        <f>196/2</f>
        <v>98</v>
      </c>
      <c r="F44" s="3">
        <f>Table112[[#This Row],[d (mm)]]</f>
        <v>307</v>
      </c>
      <c r="G44" s="3">
        <f t="shared" si="0"/>
        <v>34300</v>
      </c>
      <c r="H44" s="3">
        <f t="shared" si="1"/>
        <v>3.3255865113917523E-7</v>
      </c>
      <c r="I44" s="3">
        <f t="shared" si="2"/>
        <v>2.9114367261191099E-4</v>
      </c>
      <c r="J44" s="3">
        <f t="shared" si="3"/>
        <v>0.21791367549076091</v>
      </c>
      <c r="K44" s="3">
        <f t="shared" si="4"/>
        <v>1.9925295535194535E-7</v>
      </c>
      <c r="L44" s="3">
        <f t="shared" si="5"/>
        <v>1.5960912052117263E-3</v>
      </c>
      <c r="M44" s="3">
        <f>Table112[[#This Row],[M (KN.mm)]]/($AI$3*Table112[[#This Row],[d (mm)]])</f>
        <v>0.55863192182410426</v>
      </c>
      <c r="N44" s="3">
        <f>Table112[[#This Row],[M (KN.mm)]]/($AI$3*Table112[[#This Row],[h (mm)]])</f>
        <v>0.5119402985074627</v>
      </c>
      <c r="O44" s="3">
        <f>Table112[[#This Row],[M (KN.mm)]]/($AI$3*Table112[[#This Row],[h (mm)]]*$AI$2)</f>
        <v>4.0955223880597015E-4</v>
      </c>
      <c r="P44" s="3">
        <f>Table112[[#This Row],[M (KN.mm)]]/($AI$3*Table112[[#This Row],[d (mm)]]*$AI$2)</f>
        <v>4.469055374592834E-4</v>
      </c>
      <c r="Q44" s="3">
        <f>Table112[[#This Row],[M (KN.mm)]]/($AI$3*Table112[[#This Row],[h (mm)]]*$AI$2*$AI$4)</f>
        <v>1.3043064930126438E-5</v>
      </c>
      <c r="R44" s="3">
        <f>Table112[[#This Row],[M (KN.mm)]]/($AI$3*Table112[[#This Row],[h (mm)]]*($AI$2-Table112[[#This Row],[a (mm)]]))</f>
        <v>5.688225538971808E-4</v>
      </c>
      <c r="S44" s="3">
        <f>Table112[[#This Row],[M (KN.mm)]]/(Table112[[#This Row],[a (mm)]]*$AI$3*Table112[[#This Row],[h (mm)]]*($AI$2-Table112[[#This Row],[a (mm)]]))</f>
        <v>1.625207296849088E-6</v>
      </c>
      <c r="T44" s="3">
        <f>Table112[[#This Row],[M (KN.mm)]]/(Table112[[#This Row],[a (mm)]]^2*$AI$3*Table112[[#This Row],[h (mm)]])</f>
        <v>4.1791044776119402E-6</v>
      </c>
      <c r="U44" s="3">
        <f>Table112[[#This Row],[M (KN.mm)]]/($AI$3*Table112[[#This Row],[d (mm)]]*Table112[[#This Row],[pho (%)]])</f>
        <v>0.42648430214485544</v>
      </c>
      <c r="V44" s="3">
        <f>E44*224.8/(2*SQRT($AI$4*145.037)*$AI$3*Table112[[#This Row],[d (mm)]]*(1/25.4)^2)</f>
        <v>1.7150912092589492</v>
      </c>
      <c r="W44" s="3">
        <f>Table112[[#This Row],[M (KN.mm)]]/$G$45</f>
        <v>0.64900662251655628</v>
      </c>
      <c r="X44" s="3">
        <f t="shared" si="6"/>
        <v>1.7150912092589492</v>
      </c>
      <c r="Y44" s="44">
        <v>350</v>
      </c>
      <c r="Z44" s="44">
        <v>307</v>
      </c>
      <c r="AA44" s="44">
        <v>335</v>
      </c>
      <c r="AB44" s="44">
        <v>804.25</v>
      </c>
      <c r="AC44" s="3">
        <f t="shared" si="9"/>
        <v>1.3098534201954397</v>
      </c>
      <c r="AD44" s="44">
        <v>637.5</v>
      </c>
      <c r="AE44" s="44">
        <f t="shared" si="7"/>
        <v>15663602593.836174</v>
      </c>
      <c r="AF44" s="71">
        <f t="shared" si="8"/>
        <v>3916184895.8333335</v>
      </c>
    </row>
    <row r="45" spans="1:32" x14ac:dyDescent="0.25">
      <c r="A45" s="218" t="s">
        <v>47</v>
      </c>
      <c r="B45" s="219">
        <v>51</v>
      </c>
      <c r="C45" s="44">
        <v>8</v>
      </c>
      <c r="D45" s="3">
        <f>Table112[[#This Row],[a (mm)]]/Table112[[#This Row],[d (mm)]]</f>
        <v>1.1400651465798046</v>
      </c>
      <c r="E45" s="44">
        <v>151</v>
      </c>
      <c r="F45" s="3">
        <f>Table112[[#This Row],[d (mm)]]</f>
        <v>307</v>
      </c>
      <c r="G45" s="3">
        <f t="shared" si="0"/>
        <v>52850</v>
      </c>
      <c r="H45" s="3">
        <f t="shared" si="1"/>
        <v>5.1241179920423942E-7</v>
      </c>
      <c r="I45" s="3">
        <f t="shared" si="2"/>
        <v>4.4859892412651596E-4</v>
      </c>
      <c r="J45" s="3">
        <f t="shared" si="3"/>
        <v>0.33576494897045811</v>
      </c>
      <c r="K45" s="3">
        <f t="shared" si="4"/>
        <v>3.0701220671575253E-7</v>
      </c>
      <c r="L45" s="3">
        <f t="shared" si="5"/>
        <v>2.4592833876221497E-3</v>
      </c>
      <c r="M45" s="3">
        <f>Table112[[#This Row],[M (KN.mm)]]/($AI$3*Table112[[#This Row],[d (mm)]])</f>
        <v>0.86074918566775249</v>
      </c>
      <c r="N45" s="3">
        <f>Table112[[#This Row],[M (KN.mm)]]/($AI$3*Table112[[#This Row],[h (mm)]])</f>
        <v>0.78880597014925369</v>
      </c>
      <c r="O45" s="3">
        <f>Table112[[#This Row],[M (KN.mm)]]/($AI$3*Table112[[#This Row],[h (mm)]]*$AI$2)</f>
        <v>6.31044776119403E-4</v>
      </c>
      <c r="P45" s="3">
        <f>Table112[[#This Row],[M (KN.mm)]]/($AI$3*Table112[[#This Row],[d (mm)]]*$AI$2)</f>
        <v>6.8859934853420196E-4</v>
      </c>
      <c r="Q45" s="3">
        <f>Table112[[#This Row],[M (KN.mm)]]/($AI$3*Table112[[#This Row],[h (mm)]]*$AI$2*$AI$4)</f>
        <v>2.0096967392337676E-5</v>
      </c>
      <c r="R45" s="3">
        <f>Table112[[#This Row],[M (KN.mm)]]/($AI$3*Table112[[#This Row],[h (mm)]]*($AI$2-Table112[[#This Row],[a (mm)]]))</f>
        <v>8.7645107794361531E-4</v>
      </c>
      <c r="S45" s="3">
        <f>Table112[[#This Row],[M (KN.mm)]]/(Table112[[#This Row],[a (mm)]]*$AI$3*Table112[[#This Row],[h (mm)]]*($AI$2-Table112[[#This Row],[a (mm)]]))</f>
        <v>2.5041459369817578E-6</v>
      </c>
      <c r="T45" s="3">
        <f>Table112[[#This Row],[M (KN.mm)]]/(Table112[[#This Row],[a (mm)]]^2*$AI$3*Table112[[#This Row],[h (mm)]])</f>
        <v>6.4392324093816631E-6</v>
      </c>
      <c r="U45" s="3">
        <f>Table112[[#This Row],[M (KN.mm)]]/($AI$3*Table112[[#This Row],[d (mm)]]*Table112[[#This Row],[pho (%)]])</f>
        <v>0.65713397575380794</v>
      </c>
      <c r="V45" s="3">
        <f>E45*224.8/(2*SQRT($AI$4*145.037)*$AI$3*Table112[[#This Row],[d (mm)]]*(1/25.4)^2)</f>
        <v>2.6426405367153198</v>
      </c>
      <c r="W45" s="3">
        <f>Table112[[#This Row],[M (KN.mm)]]/$G$45</f>
        <v>1</v>
      </c>
      <c r="X45" s="3">
        <f t="shared" si="6"/>
        <v>2.6426405367153198</v>
      </c>
      <c r="Y45" s="44">
        <v>350</v>
      </c>
      <c r="Z45" s="44">
        <v>307</v>
      </c>
      <c r="AA45" s="44">
        <v>335</v>
      </c>
      <c r="AB45" s="44">
        <v>804.25</v>
      </c>
      <c r="AC45" s="3">
        <f t="shared" si="9"/>
        <v>1.3098534201954397</v>
      </c>
      <c r="AD45" s="44">
        <v>637.5</v>
      </c>
      <c r="AE45" s="44">
        <f t="shared" si="7"/>
        <v>15663602593.836174</v>
      </c>
      <c r="AF45" s="71">
        <f t="shared" si="8"/>
        <v>3916184895.8333335</v>
      </c>
    </row>
    <row r="46" spans="1:32" x14ac:dyDescent="0.25">
      <c r="A46" s="220" t="s">
        <v>48</v>
      </c>
      <c r="B46" s="221">
        <v>52</v>
      </c>
      <c r="C46" s="7">
        <v>2</v>
      </c>
      <c r="D46" s="3">
        <f>Table112[[#This Row],[a (mm)]]/Table112[[#This Row],[d (mm)]]</f>
        <v>1.1400651465798046</v>
      </c>
      <c r="E46" s="13">
        <f>0.8*E47</f>
        <v>72</v>
      </c>
      <c r="F46" s="3">
        <f>Table112[[#This Row],[d (mm)]]</f>
        <v>307</v>
      </c>
      <c r="G46" s="3">
        <f t="shared" si="0"/>
        <v>25200</v>
      </c>
      <c r="H46" s="3">
        <f t="shared" si="1"/>
        <v>2.4432880491857771E-7</v>
      </c>
      <c r="I46" s="3">
        <f t="shared" si="2"/>
        <v>2.1390147375568972E-4</v>
      </c>
      <c r="J46" s="3">
        <f t="shared" si="3"/>
        <v>0.15934996104806395</v>
      </c>
      <c r="K46" s="3">
        <f t="shared" si="4"/>
        <v>1.4638992638102107E-7</v>
      </c>
      <c r="L46" s="3">
        <f t="shared" si="5"/>
        <v>1.1726384364820848E-3</v>
      </c>
      <c r="M46" s="3">
        <f>Table112[[#This Row],[M (KN.mm)]]/($AI$3*Table112[[#This Row],[d (mm)]])</f>
        <v>0.41042345276872966</v>
      </c>
      <c r="N46" s="3">
        <f>Table112[[#This Row],[M (KN.mm)]]/($AI$3*Table112[[#This Row],[h (mm)]])</f>
        <v>0.37611940298507462</v>
      </c>
      <c r="O46" s="3">
        <f>Table112[[#This Row],[M (KN.mm)]]/($AI$3*Table112[[#This Row],[h (mm)]]*$AI$2)</f>
        <v>3.008955223880597E-4</v>
      </c>
      <c r="P46" s="3">
        <f>Table112[[#This Row],[M (KN.mm)]]/($AI$3*Table112[[#This Row],[d (mm)]]*$AI$2)</f>
        <v>3.2833876221498369E-4</v>
      </c>
      <c r="Q46" s="3">
        <f>Table112[[#This Row],[M (KN.mm)]]/($AI$3*Table112[[#This Row],[h (mm)]]*$AI$2*$AI$4)</f>
        <v>9.5826599486643209E-6</v>
      </c>
      <c r="R46" s="3">
        <f>Table112[[#This Row],[M (KN.mm)]]/($AI$3*Table112[[#This Row],[h (mm)]]*($AI$2-Table112[[#This Row],[a (mm)]]))</f>
        <v>4.1791044776119402E-4</v>
      </c>
      <c r="S46" s="3">
        <f>Table112[[#This Row],[M (KN.mm)]]/(Table112[[#This Row],[a (mm)]]*$AI$3*Table112[[#This Row],[h (mm)]]*($AI$2-Table112[[#This Row],[a (mm)]]))</f>
        <v>1.1940298507462686E-6</v>
      </c>
      <c r="T46" s="3">
        <f>Table112[[#This Row],[M (KN.mm)]]/(Table112[[#This Row],[a (mm)]]^2*$AI$3*Table112[[#This Row],[h (mm)]])</f>
        <v>3.0703624733475478E-6</v>
      </c>
      <c r="U46" s="3">
        <f>Table112[[#This Row],[M (KN.mm)]]/($AI$3*Table112[[#This Row],[d (mm)]]*Table112[[#This Row],[pho (%)]])</f>
        <v>0.31333540565744483</v>
      </c>
      <c r="V46" s="3">
        <f>E46*224.8/(2*SQRT($AI$4*145.037)*$AI$3*Table112[[#This Row],[d (mm)]]*(1/25.4)^2)</f>
        <v>1.2600670108841259</v>
      </c>
      <c r="W46" s="3">
        <f>Table112[[#This Row],[M (KN.mm)]]/$G$48</f>
        <v>0.38451268357810414</v>
      </c>
      <c r="X46" s="3">
        <f t="shared" si="6"/>
        <v>1.2600670108841259</v>
      </c>
      <c r="Y46" s="44">
        <v>350</v>
      </c>
      <c r="Z46" s="44">
        <v>307</v>
      </c>
      <c r="AA46" s="44">
        <v>335</v>
      </c>
      <c r="AB46" s="44">
        <v>804.25</v>
      </c>
      <c r="AC46" s="3">
        <f t="shared" si="9"/>
        <v>1.3098534201954397</v>
      </c>
      <c r="AD46" s="44">
        <v>640.5</v>
      </c>
      <c r="AE46" s="44">
        <f t="shared" si="7"/>
        <v>15663602593.836174</v>
      </c>
      <c r="AF46" s="71">
        <f t="shared" si="8"/>
        <v>3916184895.8333335</v>
      </c>
    </row>
    <row r="47" spans="1:32" x14ac:dyDescent="0.25">
      <c r="A47" s="220" t="s">
        <v>48</v>
      </c>
      <c r="B47" s="221">
        <v>53</v>
      </c>
      <c r="C47" s="3">
        <v>6</v>
      </c>
      <c r="D47" s="3">
        <f>Table112[[#This Row],[a (mm)]]/Table112[[#This Row],[d (mm)]]</f>
        <v>1.1400651465798046</v>
      </c>
      <c r="E47" s="7">
        <f>180/2</f>
        <v>90</v>
      </c>
      <c r="F47" s="3">
        <f>Table112[[#This Row],[d (mm)]]</f>
        <v>307</v>
      </c>
      <c r="G47" s="3">
        <f t="shared" si="0"/>
        <v>31500</v>
      </c>
      <c r="H47" s="3">
        <f t="shared" si="1"/>
        <v>3.0541100614822217E-7</v>
      </c>
      <c r="I47" s="3">
        <f t="shared" si="2"/>
        <v>2.6737684219461217E-4</v>
      </c>
      <c r="J47" s="3">
        <f t="shared" si="3"/>
        <v>0.19918745131007992</v>
      </c>
      <c r="K47" s="3">
        <f t="shared" si="4"/>
        <v>1.8298740797627635E-7</v>
      </c>
      <c r="L47" s="3">
        <f t="shared" si="5"/>
        <v>1.4657980456026058E-3</v>
      </c>
      <c r="M47" s="3">
        <f>Table112[[#This Row],[M (KN.mm)]]/($AI$3*Table112[[#This Row],[d (mm)]])</f>
        <v>0.51302931596091206</v>
      </c>
      <c r="N47" s="3">
        <f>Table112[[#This Row],[M (KN.mm)]]/($AI$3*Table112[[#This Row],[h (mm)]])</f>
        <v>0.47014925373134331</v>
      </c>
      <c r="O47" s="3">
        <f>Table112[[#This Row],[M (KN.mm)]]/($AI$3*Table112[[#This Row],[h (mm)]]*$AI$2)</f>
        <v>3.7611940298507463E-4</v>
      </c>
      <c r="P47" s="3">
        <f>Table112[[#This Row],[M (KN.mm)]]/($AI$3*Table112[[#This Row],[d (mm)]]*$AI$2)</f>
        <v>4.1042345276872966E-4</v>
      </c>
      <c r="Q47" s="3">
        <f>Table112[[#This Row],[M (KN.mm)]]/($AI$3*Table112[[#This Row],[h (mm)]]*$AI$2*$AI$4)</f>
        <v>1.1978324935830402E-5</v>
      </c>
      <c r="R47" s="3">
        <f>Table112[[#This Row],[M (KN.mm)]]/($AI$3*Table112[[#This Row],[h (mm)]]*($AI$2-Table112[[#This Row],[a (mm)]]))</f>
        <v>5.2238805970149249E-4</v>
      </c>
      <c r="S47" s="3">
        <f>Table112[[#This Row],[M (KN.mm)]]/(Table112[[#This Row],[a (mm)]]*$AI$3*Table112[[#This Row],[h (mm)]]*($AI$2-Table112[[#This Row],[a (mm)]]))</f>
        <v>1.4925373134328358E-6</v>
      </c>
      <c r="T47" s="3">
        <f>Table112[[#This Row],[M (KN.mm)]]/(Table112[[#This Row],[a (mm)]]^2*$AI$3*Table112[[#This Row],[h (mm)]])</f>
        <v>3.8379530916844354E-6</v>
      </c>
      <c r="U47" s="3">
        <f>Table112[[#This Row],[M (KN.mm)]]/($AI$3*Table112[[#This Row],[d (mm)]]*Table112[[#This Row],[pho (%)]])</f>
        <v>0.39166925707180605</v>
      </c>
      <c r="V47" s="3">
        <f>E47*224.8/(2*SQRT($AI$4*145.037)*$AI$3*Table112[[#This Row],[d (mm)]]*(1/25.4)^2)</f>
        <v>1.5750837636051573</v>
      </c>
      <c r="W47" s="3">
        <f>Table112[[#This Row],[M (KN.mm)]]/$G$48</f>
        <v>0.48064085447263016</v>
      </c>
      <c r="X47" s="3">
        <f t="shared" si="6"/>
        <v>1.5750837636051573</v>
      </c>
      <c r="Y47" s="44">
        <v>350</v>
      </c>
      <c r="Z47" s="44">
        <v>307</v>
      </c>
      <c r="AA47" s="44">
        <v>335</v>
      </c>
      <c r="AB47" s="44">
        <v>804.25</v>
      </c>
      <c r="AC47" s="3">
        <f t="shared" si="9"/>
        <v>1.3098534201954397</v>
      </c>
      <c r="AD47" s="44">
        <v>640.5</v>
      </c>
      <c r="AE47" s="44">
        <f t="shared" si="7"/>
        <v>15663602593.836174</v>
      </c>
      <c r="AF47" s="71">
        <f t="shared" si="8"/>
        <v>3916184895.8333335</v>
      </c>
    </row>
    <row r="48" spans="1:32" x14ac:dyDescent="0.25">
      <c r="A48" s="222" t="s">
        <v>48</v>
      </c>
      <c r="B48" s="223">
        <v>54</v>
      </c>
      <c r="C48" s="17">
        <v>7</v>
      </c>
      <c r="D48" s="17">
        <f>Table112[[#This Row],[a (mm)]]/Table112[[#This Row],[d (mm)]]</f>
        <v>1.1400651465798046</v>
      </c>
      <c r="E48" s="17">
        <f>374.5/2</f>
        <v>187.25</v>
      </c>
      <c r="F48" s="17">
        <f>Table112[[#This Row],[d (mm)]]</f>
        <v>307</v>
      </c>
      <c r="G48" s="17">
        <f t="shared" si="0"/>
        <v>65537.5</v>
      </c>
      <c r="H48" s="17">
        <f t="shared" si="1"/>
        <v>6.3542456556949556E-7</v>
      </c>
      <c r="I48" s="17">
        <f t="shared" si="2"/>
        <v>5.5629237445490134E-4</v>
      </c>
      <c r="J48" s="17">
        <f t="shared" si="3"/>
        <v>0.41442055842013853</v>
      </c>
      <c r="K48" s="17">
        <f t="shared" si="4"/>
        <v>3.8071546826175272E-7</v>
      </c>
      <c r="L48" s="17">
        <f t="shared" si="5"/>
        <v>3.0496742671009772E-3</v>
      </c>
      <c r="M48" s="17">
        <f>Table112[[#This Row],[M (KN.mm)]]/($AI$3*Table112[[#This Row],[d (mm)]])</f>
        <v>1.067385993485342</v>
      </c>
      <c r="N48" s="17">
        <f>Table112[[#This Row],[M (KN.mm)]]/($AI$3*Table112[[#This Row],[h (mm)]])</f>
        <v>0.97817164179104477</v>
      </c>
      <c r="O48" s="17">
        <f>Table112[[#This Row],[M (KN.mm)]]/($AI$3*Table112[[#This Row],[h (mm)]]*$AI$2)</f>
        <v>7.8253731343283582E-4</v>
      </c>
      <c r="P48" s="17">
        <f>Table112[[#This Row],[M (KN.mm)]]/($AI$3*Table112[[#This Row],[d (mm)]]*$AI$2)</f>
        <v>8.5390879478827362E-4</v>
      </c>
      <c r="Q48" s="17">
        <f>Table112[[#This Row],[M (KN.mm)]]/($AI$3*Table112[[#This Row],[h (mm)]]*$AI$2*$AI$4)</f>
        <v>2.4921570491491586E-5</v>
      </c>
      <c r="R48" s="17">
        <f>Table112[[#This Row],[M (KN.mm)]]/($AI$3*Table112[[#This Row],[h (mm)]]*($AI$2-Table112[[#This Row],[a (mm)]]))</f>
        <v>1.0868573797678275E-3</v>
      </c>
      <c r="S48" s="17">
        <f>Table112[[#This Row],[M (KN.mm)]]/(Table112[[#This Row],[a (mm)]]*$AI$3*Table112[[#This Row],[h (mm)]]*($AI$2-Table112[[#This Row],[a (mm)]]))</f>
        <v>3.1053067993366502E-6</v>
      </c>
      <c r="T48" s="17">
        <f>Table112[[#This Row],[M (KN.mm)]]/(Table112[[#This Row],[a (mm)]]^2*$AI$3*Table112[[#This Row],[h (mm)]])</f>
        <v>7.985074626865672E-6</v>
      </c>
      <c r="U48" s="17">
        <f>Table112[[#This Row],[M (KN.mm)]]/($AI$3*Table112[[#This Row],[d (mm)]]*Table112[[#This Row],[pho (%)]])</f>
        <v>0.81488964874106307</v>
      </c>
      <c r="V48" s="102">
        <f>E48*224.8/(2*SQRT($AI$4*145.037)*$AI$3*Table112[[#This Row],[d (mm)]]*(1/25.4)^2)</f>
        <v>3.2770492748340638</v>
      </c>
      <c r="W48" s="17">
        <f>Table112[[#This Row],[M (KN.mm)]]/$G$48</f>
        <v>1</v>
      </c>
      <c r="X48" s="3">
        <f t="shared" si="6"/>
        <v>3.2770492748340638</v>
      </c>
      <c r="Y48" s="52">
        <v>350</v>
      </c>
      <c r="Z48" s="52">
        <v>307</v>
      </c>
      <c r="AA48" s="52">
        <v>335</v>
      </c>
      <c r="AB48" s="52">
        <v>804.25</v>
      </c>
      <c r="AC48" s="17">
        <f t="shared" si="9"/>
        <v>1.3098534201954397</v>
      </c>
      <c r="AD48" s="52">
        <v>640.5</v>
      </c>
      <c r="AE48" s="52">
        <f t="shared" si="7"/>
        <v>15663602593.836174</v>
      </c>
      <c r="AF48" s="72">
        <f t="shared" si="8"/>
        <v>3916184895.8333335</v>
      </c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57"/>
  <sheetViews>
    <sheetView zoomScaleNormal="100" workbookViewId="0">
      <selection activeCell="T1" sqref="T1"/>
    </sheetView>
  </sheetViews>
  <sheetFormatPr defaultRowHeight="15" x14ac:dyDescent="0.25"/>
  <cols>
    <col min="1" max="1" width="6.28515625" style="2" customWidth="1"/>
    <col min="2" max="2" width="7" style="2" customWidth="1"/>
    <col min="3" max="3" width="7.42578125" style="2" customWidth="1"/>
    <col min="4" max="4" width="15" style="2" customWidth="1"/>
    <col min="5" max="5" width="10.85546875" style="2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3.140625" style="2" customWidth="1"/>
    <col min="11" max="11" width="8.85546875" style="2" customWidth="1"/>
    <col min="12" max="12" width="8.42578125" style="2" customWidth="1"/>
    <col min="13" max="17" width="10" style="2" customWidth="1"/>
    <col min="18" max="21" width="14.7109375" style="2" customWidth="1"/>
    <col min="22" max="22" width="17.42578125" style="2" customWidth="1"/>
    <col min="23" max="24" width="17.855468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style="2" customWidth="1"/>
    <col min="37" max="37" width="15.7109375" style="2" customWidth="1"/>
    <col min="40" max="16384" width="9.140625" style="2"/>
  </cols>
  <sheetData>
    <row r="1" spans="1:39" ht="80.25" customHeight="1" x14ac:dyDescent="0.25">
      <c r="A1" s="74" t="s">
        <v>59</v>
      </c>
      <c r="B1" s="74" t="s">
        <v>57</v>
      </c>
      <c r="C1" s="74" t="s">
        <v>58</v>
      </c>
      <c r="D1" s="74" t="s">
        <v>194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t="s">
        <v>50</v>
      </c>
      <c r="AK1" t="s">
        <v>75</v>
      </c>
      <c r="AL1" t="s">
        <v>80</v>
      </c>
      <c r="AM1" t="s">
        <v>89</v>
      </c>
    </row>
    <row r="2" spans="1:39" x14ac:dyDescent="0.25">
      <c r="A2" s="108" t="s">
        <v>55</v>
      </c>
      <c r="B2" s="123" t="s">
        <v>60</v>
      </c>
      <c r="C2" s="123">
        <v>1</v>
      </c>
      <c r="D2" s="123">
        <f>Table1123[[#This Row],[a (mm)]]/Table1123[[#This Row],[d (mm)]]</f>
        <v>2.2857142857142856</v>
      </c>
      <c r="E2" s="123">
        <v>253.53600000000003</v>
      </c>
      <c r="F2" s="124">
        <f>Table1123[[#This Row],[d (mm)]]</f>
        <v>666.75</v>
      </c>
      <c r="G2" s="123">
        <f t="shared" ref="G2:G33" si="0">E2*Y2</f>
        <v>386388.86400000006</v>
      </c>
      <c r="H2" s="123">
        <f t="shared" ref="H2:H33" si="1">G2/($AK$5*AH2*0.001)</f>
        <v>6.9624488331544097E-7</v>
      </c>
      <c r="I2" s="123">
        <f>G2/(Table1123[[#This Row],[b (mm)]]*Z2^2)</f>
        <v>1.5208357672951175E-3</v>
      </c>
      <c r="J2" s="123">
        <f t="shared" ref="J2:J33" si="2">G2/(AD2*AF2*Z2*0.001)</f>
        <v>0.4238672707065545</v>
      </c>
      <c r="K2" s="123">
        <f t="shared" ref="K2:K33" si="3">E2/($AK$4*AG2*0.001)</f>
        <v>1.7245357760015423E-7</v>
      </c>
      <c r="L2" s="123">
        <f>E2/(Table1123[[#This Row],[b (mm)]]*Z2)</f>
        <v>6.6536564819161389E-4</v>
      </c>
      <c r="M2" s="123">
        <f>Table1123[[#This Row],[M (KN.mm)]]/(Table1123[[#This Row],[b (mm)]]*Table1123[[#This Row],[d (mm)]])</f>
        <v>1.0140172478440197</v>
      </c>
      <c r="N2" s="123">
        <f>Table1123[[#This Row],[M (KN.mm)]]/(Table1123[[#This Row],[b (mm)]]*Table1123[[#This Row],[h (mm)]])</f>
        <v>0.88726509186351721</v>
      </c>
      <c r="O2" s="123">
        <f>Table1123[[#This Row],[M (KN.mm)]]/(Table1123[[#This Row],[b (mm)]]*Table1123[[#This Row],[h (mm)]]*Table1123[[#This Row],[L(mm)]])</f>
        <v>1.7982855356530109E-4</v>
      </c>
      <c r="P2" s="123">
        <f>Table1123[[#This Row],[M (KN.mm)]]/(Table1123[[#This Row],[b (mm)]]*Table1123[[#This Row],[d (mm)]]*Table1123[[#This Row],[L(mm)]])</f>
        <v>2.0551834693177266E-4</v>
      </c>
      <c r="Q2" s="123">
        <f>Table1123[[#This Row],[M (KN.mm)]]/(Table1123[[#This Row],[b (mm)]]*Table1123[[#This Row],[h (mm)]]*Table1123[[#This Row],[L(mm)]]*Table1123[[#This Row],[fc (Mpa)]])</f>
        <v>7.2453083628243777E-6</v>
      </c>
      <c r="R2" s="123">
        <f>Table1123[[#This Row],[M (KN.mm)]]/(Table1123[[#This Row],[b (mm)]]*Table1123[[#This Row],[h (mm)]]*Table1123[[#This Row],[L(mm)]]/2)</f>
        <v>3.5965710713060218E-4</v>
      </c>
      <c r="S2" s="123">
        <f>Table1123[[#This Row],[M (KN.mm)]]/(Table1123[[#This Row],[a (mm)]]*Table1123[[#This Row],[b (mm)]]*Table1123[[#This Row],[h (mm)]]*Table1123[[#This Row],[L(mm)]]/2)</f>
        <v>2.3599547711981768E-7</v>
      </c>
      <c r="T2" s="123">
        <f>G2/(Table1123[pho (%)]*$AK$5*AH2*0.001)</f>
        <v>1.0090505555296248E-6</v>
      </c>
      <c r="U2" s="123">
        <f>Table1123[[#This Row],[M (KN.mm)]]/(Table1123[[#This Row],[b (mm)]]*Table1123[[#This Row],[d (mm)]]*Table1123[[#This Row],[pho (%)]])</f>
        <v>1.4695902142666954</v>
      </c>
      <c r="V2" s="123">
        <f>E2*224.8/(2*SQRT(Table1123[[#This Row],[fc (Mpa)]]*145.037)*Table1123[[#This Row],[b (mm)]]*Table1123[[#This Row],[d (mm)]]*(1/25.4)^2)</f>
        <v>0.80418103516379902</v>
      </c>
      <c r="W2" s="123">
        <f>Table1123[[#This Row],[M (KN.mm)]]/$G$17</f>
        <v>0.43181818181818182</v>
      </c>
      <c r="X2" s="123">
        <f>V2</f>
        <v>0.80418103516379902</v>
      </c>
      <c r="Y2" s="123">
        <f>60*25.4</f>
        <v>1524</v>
      </c>
      <c r="Z2" s="123">
        <f>26.25*25.4</f>
        <v>666.75</v>
      </c>
      <c r="AA2" s="123">
        <f>30*25.4</f>
        <v>762</v>
      </c>
      <c r="AB2" s="103">
        <f t="shared" ref="AB2:AB17" si="4">22.5*25.4</f>
        <v>571.5</v>
      </c>
      <c r="AC2" s="103">
        <v>24.82</v>
      </c>
      <c r="AD2" s="123">
        <f>Table1123[[#This Row],[pho (%)]]/100*Table1123[[#This Row],[b (mm)]]*Table1123[[#This Row],[h (mm)]]</f>
        <v>3004.8326999999999</v>
      </c>
      <c r="AE2" s="125">
        <v>0.69</v>
      </c>
      <c r="AF2" s="123">
        <v>455</v>
      </c>
      <c r="AG2" s="123">
        <f>(1/3-0.21*(MIN(Table1123[[#This Row],[b (mm)]],AA2)/MAX(Table1123[[#This Row],[b (mm)]],AA2))*(MIN(Table1123[[#This Row],[b (mm)]],AA2)^4/(12*MAX(Table1123[[#This Row],[b (mm)]],AA2)^4)))*MAX(Table1123[[#This Row],[b (mm)]],AA2)*MIN(Table1123[[#This Row],[b (mm)]],AA2)^3</f>
        <v>46820686568.646629</v>
      </c>
      <c r="AH2" s="123">
        <f>Table1123[[#This Row],[b (mm)]]*AA2^3/12</f>
        <v>21071715921</v>
      </c>
      <c r="AI2" s="123">
        <f>194.25*25.4</f>
        <v>4933.95</v>
      </c>
      <c r="AJ2" s="106" t="s">
        <v>22</v>
      </c>
      <c r="AK2" s="107">
        <v>1250</v>
      </c>
    </row>
    <row r="3" spans="1:39" x14ac:dyDescent="0.25">
      <c r="A3" s="108" t="s">
        <v>55</v>
      </c>
      <c r="B3" s="123" t="s">
        <v>61</v>
      </c>
      <c r="C3" s="123">
        <v>2</v>
      </c>
      <c r="D3" s="123">
        <f>Table1123[[#This Row],[a (mm)]]/Table1123[[#This Row],[d (mm)]]</f>
        <v>2.2857142857142856</v>
      </c>
      <c r="E3" s="123">
        <v>342.49600000000004</v>
      </c>
      <c r="F3" s="124">
        <f>Table1123[[#This Row],[d (mm)]]</f>
        <v>666.75</v>
      </c>
      <c r="G3" s="123">
        <f t="shared" si="0"/>
        <v>521963.90400000004</v>
      </c>
      <c r="H3" s="123">
        <f t="shared" si="1"/>
        <v>9.4054133360156052E-7</v>
      </c>
      <c r="I3" s="123">
        <f>G3/(Table1123[[#This Row],[b (mm)]]*Z3^2)</f>
        <v>2.0544623523109482E-3</v>
      </c>
      <c r="J3" s="123">
        <f t="shared" si="2"/>
        <v>0.57259262884920514</v>
      </c>
      <c r="K3" s="123">
        <f t="shared" si="3"/>
        <v>2.3296360482827851E-7</v>
      </c>
      <c r="L3" s="123">
        <f>E3/(Table1123[[#This Row],[b (mm)]]*Z3)</f>
        <v>8.9882727913603985E-4</v>
      </c>
      <c r="M3" s="123">
        <f>Table1123[[#This Row],[M (KN.mm)]]/(Table1123[[#This Row],[b (mm)]]*Table1123[[#This Row],[d (mm)]])</f>
        <v>1.3698127734033247</v>
      </c>
      <c r="N3" s="123">
        <f>Table1123[[#This Row],[M (KN.mm)]]/(Table1123[[#This Row],[b (mm)]]*Table1123[[#This Row],[h (mm)]])</f>
        <v>1.1985861767279091</v>
      </c>
      <c r="O3" s="123">
        <f>Table1123[[#This Row],[M (KN.mm)]]/(Table1123[[#This Row],[b (mm)]]*Table1123[[#This Row],[h (mm)]]*Table1123[[#This Row],[L(mm)]])</f>
        <v>2.4292629165838914E-4</v>
      </c>
      <c r="P3" s="123">
        <f>Table1123[[#This Row],[M (KN.mm)]]/(Table1123[[#This Row],[b (mm)]]*Table1123[[#This Row],[d (mm)]]*Table1123[[#This Row],[L(mm)]])</f>
        <v>2.7763004760958761E-4</v>
      </c>
      <c r="Q3" s="123">
        <f>Table1123[[#This Row],[M (KN.mm)]]/(Table1123[[#This Row],[b (mm)]]*Table1123[[#This Row],[h (mm)]]*Table1123[[#This Row],[L(mm)]]*Table1123[[#This Row],[fc (Mpa)]])</f>
        <v>9.7875218234645094E-6</v>
      </c>
      <c r="R3" s="123">
        <f>Table1123[[#This Row],[M (KN.mm)]]/(Table1123[[#This Row],[b (mm)]]*Table1123[[#This Row],[h (mm)]]*Table1123[[#This Row],[L(mm)]]/2)</f>
        <v>4.8585258331677829E-4</v>
      </c>
      <c r="S3" s="123">
        <f>Table1123[[#This Row],[M (KN.mm)]]/(Table1123[[#This Row],[a (mm)]]*Table1123[[#This Row],[b (mm)]]*Table1123[[#This Row],[h (mm)]]*Table1123[[#This Row],[L(mm)]]/2)</f>
        <v>3.1880090768817475E-7</v>
      </c>
      <c r="T3" s="123">
        <f>G3/(Table1123[pho (%)]*$AK$5*AH3*0.001)</f>
        <v>1.3631033820312474E-6</v>
      </c>
      <c r="U3" s="123">
        <f>Table1123[[#This Row],[M (KN.mm)]]/(Table1123[[#This Row],[b (mm)]]*Table1123[[#This Row],[d (mm)]]*Table1123[[#This Row],[pho (%)]])</f>
        <v>1.9852359034830795</v>
      </c>
      <c r="V3" s="123">
        <f>E3*224.8/(2*SQRT(Table1123[[#This Row],[fc (Mpa)]]*145.037)*Table1123[[#This Row],[b (mm)]]*Table1123[[#This Row],[d (mm)]]*(1/25.4)^2)</f>
        <v>1.0863498194317986</v>
      </c>
      <c r="W3" s="123">
        <f>Table1123[[#This Row],[M (KN.mm)]]/$G$17</f>
        <v>0.58333333333333337</v>
      </c>
      <c r="X3" s="123">
        <f t="shared" ref="X3:X33" si="5">V3</f>
        <v>1.0863498194317986</v>
      </c>
      <c r="Y3" s="123">
        <f t="shared" ref="Y3:Y17" si="6">60*25.4</f>
        <v>1524</v>
      </c>
      <c r="Z3" s="123">
        <f t="shared" ref="Z3:Z17" si="7">26.25*25.4</f>
        <v>666.75</v>
      </c>
      <c r="AA3" s="123">
        <f t="shared" ref="AA3:AA16" si="8">30*25.4</f>
        <v>762</v>
      </c>
      <c r="AB3" s="103">
        <f t="shared" si="4"/>
        <v>571.5</v>
      </c>
      <c r="AC3" s="103">
        <v>24.82</v>
      </c>
      <c r="AD3" s="123">
        <f>Table1123[[#This Row],[pho (%)]]/100*Table1123[[#This Row],[b (mm)]]*Table1123[[#This Row],[h (mm)]]</f>
        <v>3004.8326999999999</v>
      </c>
      <c r="AE3" s="125">
        <v>0.69</v>
      </c>
      <c r="AF3" s="123">
        <v>455</v>
      </c>
      <c r="AG3" s="123">
        <f>(1/3-0.21*(MIN(Table1123[[#This Row],[b (mm)]],AA3)/MAX(Table1123[[#This Row],[b (mm)]],AA3))*(MIN(Table1123[[#This Row],[b (mm)]],AA3)^4/(12*MAX(Table1123[[#This Row],[b (mm)]],AA3)^4)))*MAX(Table1123[[#This Row],[b (mm)]],AA3)*MIN(Table1123[[#This Row],[b (mm)]],AA3)^3</f>
        <v>46820686568.646629</v>
      </c>
      <c r="AH3" s="123">
        <f>Table1123[[#This Row],[b (mm)]]*AA3^3/12</f>
        <v>21071715921</v>
      </c>
      <c r="AI3" s="123">
        <f t="shared" ref="AI3:AI10" si="9">194.25*25.4</f>
        <v>4933.95</v>
      </c>
      <c r="AJ3" s="106" t="s">
        <v>6</v>
      </c>
      <c r="AK3" s="107">
        <v>200</v>
      </c>
    </row>
    <row r="4" spans="1:39" x14ac:dyDescent="0.25">
      <c r="A4" s="108" t="s">
        <v>55</v>
      </c>
      <c r="B4" s="123" t="s">
        <v>62</v>
      </c>
      <c r="C4" s="123">
        <v>3</v>
      </c>
      <c r="D4" s="123">
        <f>Table1123[[#This Row],[a (mm)]]/Table1123[[#This Row],[d (mm)]]</f>
        <v>2.2857142857142856</v>
      </c>
      <c r="E4" s="123">
        <v>422.56000000000006</v>
      </c>
      <c r="F4" s="124">
        <f>Table1123[[#This Row],[d (mm)]]</f>
        <v>666.75</v>
      </c>
      <c r="G4" s="123">
        <f t="shared" si="0"/>
        <v>643981.44000000006</v>
      </c>
      <c r="H4" s="123">
        <f t="shared" si="1"/>
        <v>1.160408138859068E-6</v>
      </c>
      <c r="I4" s="123">
        <f>G4/(Table1123[[#This Row],[b (mm)]]*Z4^2)</f>
        <v>2.5347262788251957E-3</v>
      </c>
      <c r="J4" s="123">
        <f t="shared" si="2"/>
        <v>0.70644545117759083</v>
      </c>
      <c r="K4" s="123">
        <f t="shared" si="3"/>
        <v>2.874226293335904E-7</v>
      </c>
      <c r="L4" s="123">
        <f>E4/(Table1123[[#This Row],[b (mm)]]*Z4)</f>
        <v>1.1089427469860233E-3</v>
      </c>
      <c r="M4" s="123">
        <f>Table1123[[#This Row],[M (KN.mm)]]/(Table1123[[#This Row],[b (mm)]]*Table1123[[#This Row],[d (mm)]])</f>
        <v>1.6900287464066994</v>
      </c>
      <c r="N4" s="123">
        <f>Table1123[[#This Row],[M (KN.mm)]]/(Table1123[[#This Row],[b (mm)]]*Table1123[[#This Row],[h (mm)]])</f>
        <v>1.4787751531058619</v>
      </c>
      <c r="O4" s="123">
        <f>Table1123[[#This Row],[M (KN.mm)]]/(Table1123[[#This Row],[b (mm)]]*Table1123[[#This Row],[h (mm)]]*Table1123[[#This Row],[L(mm)]])</f>
        <v>2.9971425594216842E-4</v>
      </c>
      <c r="P4" s="123">
        <f>Table1123[[#This Row],[M (KN.mm)]]/(Table1123[[#This Row],[b (mm)]]*Table1123[[#This Row],[d (mm)]]*Table1123[[#This Row],[L(mm)]])</f>
        <v>3.4253057821962107E-4</v>
      </c>
      <c r="Q4" s="123">
        <f>Table1123[[#This Row],[M (KN.mm)]]/(Table1123[[#This Row],[b (mm)]]*Table1123[[#This Row],[h (mm)]]*Table1123[[#This Row],[L(mm)]]*Table1123[[#This Row],[fc (Mpa)]])</f>
        <v>1.2075513938040629E-5</v>
      </c>
      <c r="R4" s="123">
        <f>Table1123[[#This Row],[M (KN.mm)]]/(Table1123[[#This Row],[b (mm)]]*Table1123[[#This Row],[h (mm)]]*Table1123[[#This Row],[L(mm)]]/2)</f>
        <v>5.9942851188433683E-4</v>
      </c>
      <c r="S4" s="123">
        <f>Table1123[[#This Row],[M (KN.mm)]]/(Table1123[[#This Row],[a (mm)]]*Table1123[[#This Row],[b (mm)]]*Table1123[[#This Row],[h (mm)]]*Table1123[[#This Row],[L(mm)]]/2)</f>
        <v>3.933257951996961E-7</v>
      </c>
      <c r="T4" s="123">
        <f>G4/(Table1123[pho (%)]*$AK$5*AH4*0.001)</f>
        <v>1.6817509258827078E-6</v>
      </c>
      <c r="U4" s="123">
        <f>Table1123[[#This Row],[M (KN.mm)]]/(Table1123[[#This Row],[b (mm)]]*Table1123[[#This Row],[d (mm)]]*Table1123[[#This Row],[pho (%)]])</f>
        <v>2.4493170237778257</v>
      </c>
      <c r="V4" s="123">
        <f>E4*224.8/(2*SQRT(Table1123[[#This Row],[fc (Mpa)]]*145.037)*Table1123[[#This Row],[b (mm)]]*Table1123[[#This Row],[d (mm)]]*(1/25.4)^2)</f>
        <v>1.3403017252729983</v>
      </c>
      <c r="W4" s="123">
        <f>Table1123[[#This Row],[M (KN.mm)]]/$G$17</f>
        <v>0.71969696969696972</v>
      </c>
      <c r="X4" s="123">
        <f t="shared" si="5"/>
        <v>1.3403017252729983</v>
      </c>
      <c r="Y4" s="123">
        <f t="shared" si="6"/>
        <v>1524</v>
      </c>
      <c r="Z4" s="123">
        <f t="shared" si="7"/>
        <v>666.75</v>
      </c>
      <c r="AA4" s="123">
        <f t="shared" si="8"/>
        <v>762</v>
      </c>
      <c r="AB4" s="103">
        <f t="shared" si="4"/>
        <v>571.5</v>
      </c>
      <c r="AC4" s="103">
        <v>24.82</v>
      </c>
      <c r="AD4" s="123">
        <f>Table1123[[#This Row],[pho (%)]]/100*Table1123[[#This Row],[b (mm)]]*Table1123[[#This Row],[h (mm)]]</f>
        <v>3004.8326999999999</v>
      </c>
      <c r="AE4" s="125">
        <v>0.69</v>
      </c>
      <c r="AF4" s="123">
        <v>455</v>
      </c>
      <c r="AG4" s="123">
        <f>(1/3-0.21*(MIN(Table1123[[#This Row],[b (mm)]],AA4)/MAX(Table1123[[#This Row],[b (mm)]],AA4))*(MIN(Table1123[[#This Row],[b (mm)]],AA4)^4/(12*MAX(Table1123[[#This Row],[b (mm)]],AA4)^4)))*MAX(Table1123[[#This Row],[b (mm)]],AA4)*MIN(Table1123[[#This Row],[b (mm)]],AA4)^3</f>
        <v>46820686568.646629</v>
      </c>
      <c r="AH4" s="123">
        <f>Table1123[[#This Row],[b (mm)]]*AA4^3/12</f>
        <v>21071715921</v>
      </c>
      <c r="AI4" s="123">
        <f t="shared" si="9"/>
        <v>4933.95</v>
      </c>
      <c r="AJ4" s="106" t="s">
        <v>7</v>
      </c>
      <c r="AK4" s="107">
        <v>31.4</v>
      </c>
    </row>
    <row r="5" spans="1:39" x14ac:dyDescent="0.25">
      <c r="A5" s="108" t="s">
        <v>55</v>
      </c>
      <c r="B5" s="123" t="s">
        <v>63</v>
      </c>
      <c r="C5" s="123">
        <v>4</v>
      </c>
      <c r="D5" s="123">
        <f>Table1123[[#This Row],[a (mm)]]/Table1123[[#This Row],[d (mm)]]</f>
        <v>2.2857142857142856</v>
      </c>
      <c r="E5" s="123">
        <v>462.59200000000004</v>
      </c>
      <c r="F5" s="124">
        <f>Table1123[[#This Row],[d (mm)]]</f>
        <v>666.75</v>
      </c>
      <c r="G5" s="123">
        <f t="shared" si="0"/>
        <v>704990.2080000001</v>
      </c>
      <c r="H5" s="123">
        <f t="shared" si="1"/>
        <v>1.2703415414878221E-6</v>
      </c>
      <c r="I5" s="123">
        <f>G5/(Table1123[[#This Row],[b (mm)]]*Z5^2)</f>
        <v>2.7748582420823197E-3</v>
      </c>
      <c r="J5" s="123">
        <f t="shared" si="2"/>
        <v>0.77337186234178368</v>
      </c>
      <c r="K5" s="123">
        <f t="shared" si="3"/>
        <v>3.1465214158624629E-7</v>
      </c>
      <c r="L5" s="123">
        <f>E5/(Table1123[[#This Row],[b (mm)]]*Z5)</f>
        <v>1.2140004809110148E-3</v>
      </c>
      <c r="M5" s="123">
        <f>Table1123[[#This Row],[M (KN.mm)]]/(Table1123[[#This Row],[b (mm)]]*Table1123[[#This Row],[d (mm)]])</f>
        <v>1.8501367329083866</v>
      </c>
      <c r="N5" s="123">
        <f>Table1123[[#This Row],[M (KN.mm)]]/(Table1123[[#This Row],[b (mm)]]*Table1123[[#This Row],[h (mm)]])</f>
        <v>1.6188696412948385</v>
      </c>
      <c r="O5" s="123">
        <f>Table1123[[#This Row],[M (KN.mm)]]/(Table1123[[#This Row],[b (mm)]]*Table1123[[#This Row],[h (mm)]]*Table1123[[#This Row],[L(mm)]])</f>
        <v>3.2810823808405808E-4</v>
      </c>
      <c r="P5" s="123">
        <f>Table1123[[#This Row],[M (KN.mm)]]/(Table1123[[#This Row],[b (mm)]]*Table1123[[#This Row],[d (mm)]]*Table1123[[#This Row],[L(mm)]])</f>
        <v>3.7498084352463785E-4</v>
      </c>
      <c r="Q5" s="123">
        <f>Table1123[[#This Row],[M (KN.mm)]]/(Table1123[[#This Row],[b (mm)]]*Table1123[[#This Row],[h (mm)]]*Table1123[[#This Row],[L(mm)]]*Table1123[[#This Row],[fc (Mpa)]])</f>
        <v>1.321950999532869E-5</v>
      </c>
      <c r="R5" s="123">
        <f>Table1123[[#This Row],[M (KN.mm)]]/(Table1123[[#This Row],[b (mm)]]*Table1123[[#This Row],[h (mm)]]*Table1123[[#This Row],[L(mm)]]/2)</f>
        <v>6.5621647616811616E-4</v>
      </c>
      <c r="S5" s="123">
        <f>Table1123[[#This Row],[M (KN.mm)]]/(Table1123[[#This Row],[a (mm)]]*Table1123[[#This Row],[b (mm)]]*Table1123[[#This Row],[h (mm)]]*Table1123[[#This Row],[L(mm)]]/2)</f>
        <v>4.3058823895545682E-7</v>
      </c>
      <c r="T5" s="123">
        <f>G5/(Table1123[pho (%)]*$AK$5*AH5*0.001)</f>
        <v>1.8410746978084382E-6</v>
      </c>
      <c r="U5" s="123">
        <f>Table1123[[#This Row],[M (KN.mm)]]/(Table1123[[#This Row],[b (mm)]]*Table1123[[#This Row],[d (mm)]]*Table1123[[#This Row],[pho (%)]])</f>
        <v>2.6813575839251986</v>
      </c>
      <c r="V5" s="123">
        <f>E5*224.8/(2*SQRT(Table1123[[#This Row],[fc (Mpa)]]*145.037)*Table1123[[#This Row],[b (mm)]]*Table1123[[#This Row],[d (mm)]]*(1/25.4)^2)</f>
        <v>1.4672776781935981</v>
      </c>
      <c r="W5" s="123">
        <f>Table1123[[#This Row],[M (KN.mm)]]/$G$17</f>
        <v>0.78787878787878796</v>
      </c>
      <c r="X5" s="123">
        <f t="shared" si="5"/>
        <v>1.4672776781935981</v>
      </c>
      <c r="Y5" s="123">
        <f t="shared" si="6"/>
        <v>1524</v>
      </c>
      <c r="Z5" s="123">
        <f t="shared" si="7"/>
        <v>666.75</v>
      </c>
      <c r="AA5" s="123">
        <f t="shared" si="8"/>
        <v>762</v>
      </c>
      <c r="AB5" s="103">
        <f t="shared" si="4"/>
        <v>571.5</v>
      </c>
      <c r="AC5" s="103">
        <v>24.82</v>
      </c>
      <c r="AD5" s="123">
        <f>Table1123[[#This Row],[pho (%)]]/100*Table1123[[#This Row],[b (mm)]]*Table1123[[#This Row],[h (mm)]]</f>
        <v>3004.8326999999999</v>
      </c>
      <c r="AE5" s="125">
        <v>0.69</v>
      </c>
      <c r="AF5" s="123">
        <v>455</v>
      </c>
      <c r="AG5" s="123">
        <f>(1/3-0.21*(MIN(Table1123[[#This Row],[b (mm)]],AA5)/MAX(Table1123[[#This Row],[b (mm)]],AA5))*(MIN(Table1123[[#This Row],[b (mm)]],AA5)^4/(12*MAX(Table1123[[#This Row],[b (mm)]],AA5)^4)))*MAX(Table1123[[#This Row],[b (mm)]],AA5)*MIN(Table1123[[#This Row],[b (mm)]],AA5)^3</f>
        <v>46820686568.646629</v>
      </c>
      <c r="AH5" s="123">
        <f>Table1123[[#This Row],[b (mm)]]*AA5^3/12</f>
        <v>21071715921</v>
      </c>
      <c r="AI5" s="123">
        <f t="shared" si="9"/>
        <v>4933.95</v>
      </c>
      <c r="AJ5" s="106" t="s">
        <v>8</v>
      </c>
      <c r="AK5" s="107">
        <f>4700*SQRT(AK4)</f>
        <v>26336.780365109171</v>
      </c>
    </row>
    <row r="6" spans="1:39" x14ac:dyDescent="0.25">
      <c r="A6" s="108" t="s">
        <v>55</v>
      </c>
      <c r="B6" s="123" t="s">
        <v>64</v>
      </c>
      <c r="C6" s="123">
        <v>5</v>
      </c>
      <c r="D6" s="123">
        <f>Table1123[[#This Row],[a (mm)]]/Table1123[[#This Row],[d (mm)]]</f>
        <v>2.2857142857142856</v>
      </c>
      <c r="E6" s="123">
        <v>507.07200000000006</v>
      </c>
      <c r="F6" s="124">
        <f>Table1123[[#This Row],[d (mm)]]</f>
        <v>666.75</v>
      </c>
      <c r="G6" s="123">
        <f t="shared" si="0"/>
        <v>772777.72800000012</v>
      </c>
      <c r="H6" s="123">
        <f t="shared" si="1"/>
        <v>1.3924897666308819E-6</v>
      </c>
      <c r="I6" s="123">
        <f>G6/(Table1123[[#This Row],[b (mm)]]*Z6^2)</f>
        <v>3.0416715345902351E-3</v>
      </c>
      <c r="J6" s="123">
        <f t="shared" si="2"/>
        <v>0.847734541413109</v>
      </c>
      <c r="K6" s="123">
        <f t="shared" si="3"/>
        <v>3.4490715520030845E-7</v>
      </c>
      <c r="L6" s="123">
        <f>E6/(Table1123[[#This Row],[b (mm)]]*Z6)</f>
        <v>1.3307312963832278E-3</v>
      </c>
      <c r="M6" s="123">
        <f>Table1123[[#This Row],[M (KN.mm)]]/(Table1123[[#This Row],[b (mm)]]*Table1123[[#This Row],[d (mm)]])</f>
        <v>2.0280344956880394</v>
      </c>
      <c r="N6" s="123">
        <f>Table1123[[#This Row],[M (KN.mm)]]/(Table1123[[#This Row],[b (mm)]]*Table1123[[#This Row],[h (mm)]])</f>
        <v>1.7745301837270344</v>
      </c>
      <c r="O6" s="123">
        <f>Table1123[[#This Row],[M (KN.mm)]]/(Table1123[[#This Row],[b (mm)]]*Table1123[[#This Row],[h (mm)]]*Table1123[[#This Row],[L(mm)]])</f>
        <v>3.5965710713060218E-4</v>
      </c>
      <c r="P6" s="123">
        <f>Table1123[[#This Row],[M (KN.mm)]]/(Table1123[[#This Row],[b (mm)]]*Table1123[[#This Row],[d (mm)]]*Table1123[[#This Row],[L(mm)]])</f>
        <v>4.1103669386354533E-4</v>
      </c>
      <c r="Q6" s="123">
        <f>Table1123[[#This Row],[M (KN.mm)]]/(Table1123[[#This Row],[b (mm)]]*Table1123[[#This Row],[h (mm)]]*Table1123[[#This Row],[L(mm)]]*Table1123[[#This Row],[fc (Mpa)]])</f>
        <v>1.4490616725648755E-5</v>
      </c>
      <c r="R6" s="123">
        <f>Table1123[[#This Row],[M (KN.mm)]]/(Table1123[[#This Row],[b (mm)]]*Table1123[[#This Row],[h (mm)]]*Table1123[[#This Row],[L(mm)]]/2)</f>
        <v>7.1931421426120435E-4</v>
      </c>
      <c r="S6" s="123">
        <f>Table1123[[#This Row],[M (KN.mm)]]/(Table1123[[#This Row],[a (mm)]]*Table1123[[#This Row],[b (mm)]]*Table1123[[#This Row],[h (mm)]]*Table1123[[#This Row],[L(mm)]]/2)</f>
        <v>4.7199095423963536E-7</v>
      </c>
      <c r="T6" s="123">
        <f>G6/(Table1123[pho (%)]*$AK$5*AH6*0.001)</f>
        <v>2.0181011110592496E-6</v>
      </c>
      <c r="U6" s="123">
        <f>Table1123[[#This Row],[M (KN.mm)]]/(Table1123[[#This Row],[b (mm)]]*Table1123[[#This Row],[d (mm)]]*Table1123[[#This Row],[pho (%)]])</f>
        <v>2.9391804285333909</v>
      </c>
      <c r="V6" s="123">
        <f>E6*224.8/(2*SQRT(Table1123[[#This Row],[fc (Mpa)]]*145.037)*Table1123[[#This Row],[b (mm)]]*Table1123[[#This Row],[d (mm)]]*(1/25.4)^2)</f>
        <v>1.608362070327598</v>
      </c>
      <c r="W6" s="123">
        <f>Table1123[[#This Row],[M (KN.mm)]]/$G$17</f>
        <v>0.86363636363636365</v>
      </c>
      <c r="X6" s="123">
        <f t="shared" si="5"/>
        <v>1.608362070327598</v>
      </c>
      <c r="Y6" s="123">
        <f t="shared" si="6"/>
        <v>1524</v>
      </c>
      <c r="Z6" s="123">
        <f t="shared" si="7"/>
        <v>666.75</v>
      </c>
      <c r="AA6" s="123">
        <f t="shared" si="8"/>
        <v>762</v>
      </c>
      <c r="AB6" s="103">
        <f t="shared" si="4"/>
        <v>571.5</v>
      </c>
      <c r="AC6" s="103">
        <v>24.82</v>
      </c>
      <c r="AD6" s="123">
        <f>Table1123[[#This Row],[pho (%)]]/100*Table1123[[#This Row],[b (mm)]]*Table1123[[#This Row],[h (mm)]]</f>
        <v>3004.8326999999999</v>
      </c>
      <c r="AE6" s="125">
        <v>0.69</v>
      </c>
      <c r="AF6" s="123">
        <v>455</v>
      </c>
      <c r="AG6" s="123">
        <f>(1/3-0.21*(MIN(Table1123[[#This Row],[b (mm)]],AA6)/MAX(Table1123[[#This Row],[b (mm)]],AA6))*(MIN(Table1123[[#This Row],[b (mm)]],AA6)^4/(12*MAX(Table1123[[#This Row],[b (mm)]],AA6)^4)))*MAX(Table1123[[#This Row],[b (mm)]],AA6)*MIN(Table1123[[#This Row],[b (mm)]],AA6)^3</f>
        <v>46820686568.646629</v>
      </c>
      <c r="AH6" s="123">
        <f>Table1123[[#This Row],[b (mm)]]*AA6^3/12</f>
        <v>21071715921</v>
      </c>
      <c r="AI6" s="123">
        <f t="shared" si="9"/>
        <v>4933.95</v>
      </c>
      <c r="AJ6" s="106" t="s">
        <v>16</v>
      </c>
      <c r="AK6" s="107">
        <f>AK5/(2*(1+0.15))</f>
        <v>11450.774071786596</v>
      </c>
    </row>
    <row r="7" spans="1:39" x14ac:dyDescent="0.25">
      <c r="A7" s="108" t="s">
        <v>55</v>
      </c>
      <c r="B7" s="123" t="s">
        <v>65</v>
      </c>
      <c r="C7" s="123">
        <v>6</v>
      </c>
      <c r="D7" s="123">
        <f>Table1123[[#This Row],[a (mm)]]/Table1123[[#This Row],[d (mm)]]</f>
        <v>2.2857142857142856</v>
      </c>
      <c r="E7" s="123">
        <v>551.55200000000002</v>
      </c>
      <c r="F7" s="124">
        <f>Table1123[[#This Row],[d (mm)]]</f>
        <v>666.75</v>
      </c>
      <c r="G7" s="123">
        <f t="shared" si="0"/>
        <v>840565.24800000002</v>
      </c>
      <c r="H7" s="123">
        <f t="shared" si="1"/>
        <v>1.5146379917739416E-6</v>
      </c>
      <c r="I7" s="123">
        <f>G7/(Table1123[[#This Row],[b (mm)]]*Z7^2)</f>
        <v>3.3084848270981499E-3</v>
      </c>
      <c r="J7" s="123">
        <f t="shared" si="2"/>
        <v>0.92209722048443421</v>
      </c>
      <c r="K7" s="123">
        <f t="shared" si="3"/>
        <v>3.7516216881437057E-7</v>
      </c>
      <c r="L7" s="123">
        <f>E7/(Table1123[[#This Row],[b (mm)]]*Z7)</f>
        <v>1.4474621118554408E-3</v>
      </c>
      <c r="M7" s="123">
        <f>Table1123[[#This Row],[M (KN.mm)]]/(Table1123[[#This Row],[b (mm)]]*Table1123[[#This Row],[d (mm)]])</f>
        <v>2.2059322584676915</v>
      </c>
      <c r="N7" s="123">
        <f>Table1123[[#This Row],[M (KN.mm)]]/(Table1123[[#This Row],[b (mm)]]*Table1123[[#This Row],[h (mm)]])</f>
        <v>1.9301907261592302</v>
      </c>
      <c r="O7" s="123">
        <f>Table1123[[#This Row],[M (KN.mm)]]/(Table1123[[#This Row],[b (mm)]]*Table1123[[#This Row],[h (mm)]]*Table1123[[#This Row],[L(mm)]])</f>
        <v>3.9120597617714616E-4</v>
      </c>
      <c r="P7" s="123">
        <f>Table1123[[#This Row],[M (KN.mm)]]/(Table1123[[#This Row],[b (mm)]]*Table1123[[#This Row],[d (mm)]]*Table1123[[#This Row],[L(mm)]])</f>
        <v>4.4709254420245275E-4</v>
      </c>
      <c r="Q7" s="123">
        <f>Table1123[[#This Row],[M (KN.mm)]]/(Table1123[[#This Row],[b (mm)]]*Table1123[[#This Row],[h (mm)]]*Table1123[[#This Row],[L(mm)]]*Table1123[[#This Row],[fc (Mpa)]])</f>
        <v>1.5761723455968821E-5</v>
      </c>
      <c r="R7" s="123">
        <f>Table1123[[#This Row],[M (KN.mm)]]/(Table1123[[#This Row],[b (mm)]]*Table1123[[#This Row],[h (mm)]]*Table1123[[#This Row],[L(mm)]]/2)</f>
        <v>7.8241195235429232E-4</v>
      </c>
      <c r="S7" s="123">
        <f>Table1123[[#This Row],[M (KN.mm)]]/(Table1123[[#This Row],[a (mm)]]*Table1123[[#This Row],[b (mm)]]*Table1123[[#This Row],[h (mm)]]*Table1123[[#This Row],[L(mm)]]/2)</f>
        <v>5.1339366952381379E-7</v>
      </c>
      <c r="T7" s="123">
        <f>G7/(Table1123[pho (%)]*$AK$5*AH7*0.001)</f>
        <v>2.1951275243100605E-6</v>
      </c>
      <c r="U7" s="123">
        <f>Table1123[[#This Row],[M (KN.mm)]]/(Table1123[[#This Row],[b (mm)]]*Table1123[[#This Row],[d (mm)]]*Table1123[[#This Row],[pho (%)]])</f>
        <v>3.1970032731415827</v>
      </c>
      <c r="V7" s="123">
        <f>E7*224.8/(2*SQRT(Table1123[[#This Row],[fc (Mpa)]]*145.037)*Table1123[[#This Row],[b (mm)]]*Table1123[[#This Row],[d (mm)]]*(1/25.4)^2)</f>
        <v>1.7494464624615977</v>
      </c>
      <c r="W7" s="123">
        <f>Table1123[[#This Row],[M (KN.mm)]]/$G$17</f>
        <v>0.93939393939393934</v>
      </c>
      <c r="X7" s="123">
        <f t="shared" si="5"/>
        <v>1.7494464624615977</v>
      </c>
      <c r="Y7" s="123">
        <f t="shared" si="6"/>
        <v>1524</v>
      </c>
      <c r="Z7" s="123">
        <f t="shared" si="7"/>
        <v>666.75</v>
      </c>
      <c r="AA7" s="123">
        <f t="shared" si="8"/>
        <v>762</v>
      </c>
      <c r="AB7" s="103">
        <f t="shared" si="4"/>
        <v>571.5</v>
      </c>
      <c r="AC7" s="103">
        <v>24.82</v>
      </c>
      <c r="AD7" s="123">
        <f>Table1123[[#This Row],[pho (%)]]/100*Table1123[[#This Row],[b (mm)]]*Table1123[[#This Row],[h (mm)]]</f>
        <v>3004.8326999999999</v>
      </c>
      <c r="AE7" s="125">
        <v>0.69</v>
      </c>
      <c r="AF7" s="123">
        <v>455</v>
      </c>
      <c r="AG7" s="123">
        <f>(1/3-0.21*(MIN(Table1123[[#This Row],[b (mm)]],AA7)/MAX(Table1123[[#This Row],[b (mm)]],AA7))*(MIN(Table1123[[#This Row],[b (mm)]],AA7)^4/(12*MAX(Table1123[[#This Row],[b (mm)]],AA7)^4)))*MAX(Table1123[[#This Row],[b (mm)]],AA7)*MIN(Table1123[[#This Row],[b (mm)]],AA7)^3</f>
        <v>46820686568.646629</v>
      </c>
      <c r="AH7" s="123">
        <f>Table1123[[#This Row],[b (mm)]]*AA7^3/12</f>
        <v>21071715921</v>
      </c>
      <c r="AI7" s="123">
        <f t="shared" si="9"/>
        <v>4933.95</v>
      </c>
      <c r="AJ7" s="106"/>
      <c r="AK7" s="107"/>
    </row>
    <row r="8" spans="1:39" x14ac:dyDescent="0.25">
      <c r="A8" s="108" t="s">
        <v>55</v>
      </c>
      <c r="B8" s="123" t="s">
        <v>66</v>
      </c>
      <c r="C8" s="123">
        <v>7</v>
      </c>
      <c r="D8" s="123">
        <f>Table1123[[#This Row],[a (mm)]]/Table1123[[#This Row],[d (mm)]]</f>
        <v>2.2857142857142856</v>
      </c>
      <c r="E8" s="123">
        <v>596.03200000000004</v>
      </c>
      <c r="F8" s="124">
        <f>Table1123[[#This Row],[d (mm)]]</f>
        <v>666.75</v>
      </c>
      <c r="G8" s="123">
        <f t="shared" si="0"/>
        <v>908352.76800000004</v>
      </c>
      <c r="H8" s="123">
        <f t="shared" si="1"/>
        <v>1.6367862169170014E-6</v>
      </c>
      <c r="I8" s="123">
        <f>G8/(Table1123[[#This Row],[b (mm)]]*Z8^2)</f>
        <v>3.5752981196060657E-3</v>
      </c>
      <c r="J8" s="123">
        <f t="shared" si="2"/>
        <v>0.99645989955575964</v>
      </c>
      <c r="K8" s="123">
        <f t="shared" si="3"/>
        <v>4.0541718242843269E-7</v>
      </c>
      <c r="L8" s="123">
        <f>E8/(Table1123[[#This Row],[b (mm)]]*Z8)</f>
        <v>1.5641929273276537E-3</v>
      </c>
      <c r="M8" s="123">
        <f>Table1123[[#This Row],[M (KN.mm)]]/(Table1123[[#This Row],[b (mm)]]*Table1123[[#This Row],[d (mm)]])</f>
        <v>2.383830021247344</v>
      </c>
      <c r="N8" s="123">
        <f>Table1123[[#This Row],[M (KN.mm)]]/(Table1123[[#This Row],[b (mm)]]*Table1123[[#This Row],[h (mm)]])</f>
        <v>2.0858512685914263</v>
      </c>
      <c r="O8" s="123">
        <f>Table1123[[#This Row],[M (KN.mm)]]/(Table1123[[#This Row],[b (mm)]]*Table1123[[#This Row],[h (mm)]]*Table1123[[#This Row],[L(mm)]])</f>
        <v>4.227548452236902E-4</v>
      </c>
      <c r="P8" s="123">
        <f>Table1123[[#This Row],[M (KN.mm)]]/(Table1123[[#This Row],[b (mm)]]*Table1123[[#This Row],[d (mm)]]*Table1123[[#This Row],[L(mm)]])</f>
        <v>4.8314839454136022E-4</v>
      </c>
      <c r="Q8" s="123">
        <f>Table1123[[#This Row],[M (KN.mm)]]/(Table1123[[#This Row],[b (mm)]]*Table1123[[#This Row],[h (mm)]]*Table1123[[#This Row],[L(mm)]]*Table1123[[#This Row],[fc (Mpa)]])</f>
        <v>1.7032830186288887E-5</v>
      </c>
      <c r="R8" s="123">
        <f>Table1123[[#This Row],[M (KN.mm)]]/(Table1123[[#This Row],[b (mm)]]*Table1123[[#This Row],[h (mm)]]*Table1123[[#This Row],[L(mm)]]/2)</f>
        <v>8.4550969044738041E-4</v>
      </c>
      <c r="S8" s="123">
        <f>Table1123[[#This Row],[M (KN.mm)]]/(Table1123[[#This Row],[a (mm)]]*Table1123[[#This Row],[b (mm)]]*Table1123[[#This Row],[h (mm)]]*Table1123[[#This Row],[L(mm)]]/2)</f>
        <v>5.5479638480799233E-7</v>
      </c>
      <c r="T8" s="123">
        <f>G8/(Table1123[pho (%)]*$AK$5*AH8*0.001)</f>
        <v>2.3721539375608718E-6</v>
      </c>
      <c r="U8" s="123">
        <f>Table1123[[#This Row],[M (KN.mm)]]/(Table1123[[#This Row],[b (mm)]]*Table1123[[#This Row],[d (mm)]]*Table1123[[#This Row],[pho (%)]])</f>
        <v>3.4548261177497745</v>
      </c>
      <c r="V8" s="123">
        <f>E8*224.8/(2*SQRT(Table1123[[#This Row],[fc (Mpa)]]*145.037)*Table1123[[#This Row],[b (mm)]]*Table1123[[#This Row],[d (mm)]]*(1/25.4)^2)</f>
        <v>1.8905308545955977</v>
      </c>
      <c r="W8" s="123">
        <f>Table1123[[#This Row],[M (KN.mm)]]/$G$17</f>
        <v>1.0151515151515151</v>
      </c>
      <c r="X8" s="123">
        <f t="shared" si="5"/>
        <v>1.8905308545955977</v>
      </c>
      <c r="Y8" s="123">
        <f t="shared" si="6"/>
        <v>1524</v>
      </c>
      <c r="Z8" s="123">
        <f t="shared" si="7"/>
        <v>666.75</v>
      </c>
      <c r="AA8" s="123">
        <f t="shared" si="8"/>
        <v>762</v>
      </c>
      <c r="AB8" s="103">
        <f t="shared" si="4"/>
        <v>571.5</v>
      </c>
      <c r="AC8" s="103">
        <v>24.82</v>
      </c>
      <c r="AD8" s="123">
        <f>Table1123[[#This Row],[pho (%)]]/100*Table1123[[#This Row],[b (mm)]]*Table1123[[#This Row],[h (mm)]]</f>
        <v>3004.8326999999999</v>
      </c>
      <c r="AE8" s="125">
        <v>0.69</v>
      </c>
      <c r="AF8" s="123">
        <v>455</v>
      </c>
      <c r="AG8" s="123">
        <f>(1/3-0.21*(MIN(Table1123[[#This Row],[b (mm)]],AA8)/MAX(Table1123[[#This Row],[b (mm)]],AA8))*(MIN(Table1123[[#This Row],[b (mm)]],AA8)^4/(12*MAX(Table1123[[#This Row],[b (mm)]],AA8)^4)))*MAX(Table1123[[#This Row],[b (mm)]],AA8)*MIN(Table1123[[#This Row],[b (mm)]],AA8)^3</f>
        <v>46820686568.646629</v>
      </c>
      <c r="AH8" s="123">
        <f>Table1123[[#This Row],[b (mm)]]*AA8^3/12</f>
        <v>21071715921</v>
      </c>
      <c r="AI8" s="123">
        <f t="shared" si="9"/>
        <v>4933.95</v>
      </c>
      <c r="AJ8" s="106"/>
      <c r="AK8" s="107"/>
    </row>
    <row r="9" spans="1:39" x14ac:dyDescent="0.25">
      <c r="A9" s="108" t="s">
        <v>55</v>
      </c>
      <c r="B9" s="123" t="s">
        <v>67</v>
      </c>
      <c r="C9" s="123">
        <v>8</v>
      </c>
      <c r="D9" s="123">
        <f>Table1123[[#This Row],[a (mm)]]/Table1123[[#This Row],[d (mm)]]</f>
        <v>2.2857142857142856</v>
      </c>
      <c r="E9" s="123">
        <v>618.27200000000005</v>
      </c>
      <c r="F9" s="124">
        <f>Table1123[[#This Row],[d (mm)]]</f>
        <v>666.75</v>
      </c>
      <c r="G9" s="123">
        <f t="shared" si="0"/>
        <v>942246.52800000005</v>
      </c>
      <c r="H9" s="123">
        <f t="shared" si="1"/>
        <v>1.6978603294885312E-6</v>
      </c>
      <c r="I9" s="123">
        <f>G9/(Table1123[[#This Row],[b (mm)]]*Z9^2)</f>
        <v>3.7087047658600231E-3</v>
      </c>
      <c r="J9" s="123">
        <f t="shared" si="2"/>
        <v>1.0336412390914222</v>
      </c>
      <c r="K9" s="123">
        <f t="shared" si="3"/>
        <v>4.2054468923546377E-7</v>
      </c>
      <c r="L9" s="123">
        <f>E9/(Table1123[[#This Row],[b (mm)]]*Z9)</f>
        <v>1.6225583350637602E-3</v>
      </c>
      <c r="M9" s="123">
        <f>Table1123[[#This Row],[M (KN.mm)]]/(Table1123[[#This Row],[b (mm)]]*Table1123[[#This Row],[d (mm)]])</f>
        <v>2.4727789026371703</v>
      </c>
      <c r="N9" s="123">
        <f>Table1123[[#This Row],[M (KN.mm)]]/(Table1123[[#This Row],[b (mm)]]*Table1123[[#This Row],[h (mm)]])</f>
        <v>2.163681539807524</v>
      </c>
      <c r="O9" s="123">
        <f>Table1123[[#This Row],[M (KN.mm)]]/(Table1123[[#This Row],[b (mm)]]*Table1123[[#This Row],[h (mm)]]*Table1123[[#This Row],[L(mm)]])</f>
        <v>4.3852927974696225E-4</v>
      </c>
      <c r="P9" s="123">
        <f>Table1123[[#This Row],[M (KN.mm)]]/(Table1123[[#This Row],[b (mm)]]*Table1123[[#This Row],[d (mm)]]*Table1123[[#This Row],[L(mm)]])</f>
        <v>5.0117631971081402E-4</v>
      </c>
      <c r="Q9" s="123">
        <f>Table1123[[#This Row],[M (KN.mm)]]/(Table1123[[#This Row],[b (mm)]]*Table1123[[#This Row],[h (mm)]]*Table1123[[#This Row],[L(mm)]]*Table1123[[#This Row],[fc (Mpa)]])</f>
        <v>1.766838355144892E-5</v>
      </c>
      <c r="R9" s="123">
        <f>Table1123[[#This Row],[M (KN.mm)]]/(Table1123[[#This Row],[b (mm)]]*Table1123[[#This Row],[h (mm)]]*Table1123[[#This Row],[L(mm)]]/2)</f>
        <v>8.770585594939245E-4</v>
      </c>
      <c r="S9" s="123">
        <f>Table1123[[#This Row],[M (KN.mm)]]/(Table1123[[#This Row],[a (mm)]]*Table1123[[#This Row],[b (mm)]]*Table1123[[#This Row],[h (mm)]]*Table1123[[#This Row],[L(mm)]]/2)</f>
        <v>5.7549774245008165E-7</v>
      </c>
      <c r="T9" s="123">
        <f>G9/(Table1123[pho (%)]*$AK$5*AH9*0.001)</f>
        <v>2.4606671441862776E-6</v>
      </c>
      <c r="U9" s="123">
        <f>Table1123[[#This Row],[M (KN.mm)]]/(Table1123[[#This Row],[b (mm)]]*Table1123[[#This Row],[d (mm)]]*Table1123[[#This Row],[pho (%)]])</f>
        <v>3.5837375400538707</v>
      </c>
      <c r="V9" s="123">
        <f>E9*224.8/(2*SQRT(Table1123[[#This Row],[fc (Mpa)]]*145.037)*Table1123[[#This Row],[b (mm)]]*Table1123[[#This Row],[d (mm)]]*(1/25.4)^2)</f>
        <v>1.9610730506625975</v>
      </c>
      <c r="W9" s="123">
        <f>Table1123[[#This Row],[M (KN.mm)]]/$G$17</f>
        <v>1.053030303030303</v>
      </c>
      <c r="X9" s="123">
        <f t="shared" si="5"/>
        <v>1.9610730506625975</v>
      </c>
      <c r="Y9" s="123">
        <f t="shared" si="6"/>
        <v>1524</v>
      </c>
      <c r="Z9" s="123">
        <f t="shared" si="7"/>
        <v>666.75</v>
      </c>
      <c r="AA9" s="123">
        <f t="shared" si="8"/>
        <v>762</v>
      </c>
      <c r="AB9" s="103">
        <f t="shared" si="4"/>
        <v>571.5</v>
      </c>
      <c r="AC9" s="103">
        <v>24.82</v>
      </c>
      <c r="AD9" s="123">
        <f>Table1123[[#This Row],[pho (%)]]/100*Table1123[[#This Row],[b (mm)]]*Table1123[[#This Row],[h (mm)]]</f>
        <v>3004.8326999999999</v>
      </c>
      <c r="AE9" s="125">
        <v>0.69</v>
      </c>
      <c r="AF9" s="123">
        <v>455</v>
      </c>
      <c r="AG9" s="123">
        <f>(1/3-0.21*(MIN(Table1123[[#This Row],[b (mm)]],AA9)/MAX(Table1123[[#This Row],[b (mm)]],AA9))*(MIN(Table1123[[#This Row],[b (mm)]],AA9)^4/(12*MAX(Table1123[[#This Row],[b (mm)]],AA9)^4)))*MAX(Table1123[[#This Row],[b (mm)]],AA9)*MIN(Table1123[[#This Row],[b (mm)]],AA9)^3</f>
        <v>46820686568.646629</v>
      </c>
      <c r="AH9" s="123">
        <f>Table1123[[#This Row],[b (mm)]]*AA9^3/12</f>
        <v>21071715921</v>
      </c>
      <c r="AI9" s="123">
        <f t="shared" si="9"/>
        <v>4933.95</v>
      </c>
      <c r="AJ9" s="106"/>
      <c r="AK9" s="107"/>
    </row>
    <row r="10" spans="1:39" x14ac:dyDescent="0.25">
      <c r="A10" s="112" t="s">
        <v>55</v>
      </c>
      <c r="B10" s="123" t="s">
        <v>68</v>
      </c>
      <c r="C10" s="123">
        <v>9</v>
      </c>
      <c r="D10" s="123">
        <f>Table1123[[#This Row],[a (mm)]]/Table1123[[#This Row],[d (mm)]]</f>
        <v>2.2857142857142856</v>
      </c>
      <c r="E10" s="123">
        <v>649.40800000000002</v>
      </c>
      <c r="F10" s="124">
        <f>Table1123[[#This Row],[d (mm)]]</f>
        <v>666.75</v>
      </c>
      <c r="G10" s="123">
        <f t="shared" si="0"/>
        <v>989697.79200000002</v>
      </c>
      <c r="H10" s="123">
        <f t="shared" si="1"/>
        <v>1.7833640870886729E-6</v>
      </c>
      <c r="I10" s="123">
        <f>G10/(Table1123[[#This Row],[b (mm)]]*Z10^2)</f>
        <v>3.8954740706155636E-3</v>
      </c>
      <c r="J10" s="123">
        <f t="shared" si="2"/>
        <v>1.08569511444135</v>
      </c>
      <c r="K10" s="123">
        <f t="shared" si="3"/>
        <v>4.4172319876530726E-7</v>
      </c>
      <c r="L10" s="123">
        <f>E10/(Table1123[[#This Row],[b (mm)]]*Z10)</f>
        <v>1.7042699058943092E-3</v>
      </c>
      <c r="M10" s="123">
        <f>Table1123[[#This Row],[M (KN.mm)]]/(Table1123[[#This Row],[b (mm)]]*Table1123[[#This Row],[d (mm)]])</f>
        <v>2.5973073365829271</v>
      </c>
      <c r="N10" s="123">
        <f>Table1123[[#This Row],[M (KN.mm)]]/(Table1123[[#This Row],[b (mm)]]*Table1123[[#This Row],[h (mm)]])</f>
        <v>2.2726439195100614</v>
      </c>
      <c r="O10" s="123">
        <f>Table1123[[#This Row],[M (KN.mm)]]/(Table1123[[#This Row],[b (mm)]]*Table1123[[#This Row],[h (mm)]]*Table1123[[#This Row],[L(mm)]])</f>
        <v>4.6061348807954305E-4</v>
      </c>
      <c r="P10" s="123">
        <f>Table1123[[#This Row],[M (KN.mm)]]/(Table1123[[#This Row],[b (mm)]]*Table1123[[#This Row],[d (mm)]]*Table1123[[#This Row],[L(mm)]])</f>
        <v>5.2641541494804925E-4</v>
      </c>
      <c r="Q10" s="123">
        <f>Table1123[[#This Row],[M (KN.mm)]]/(Table1123[[#This Row],[b (mm)]]*Table1123[[#This Row],[h (mm)]]*Table1123[[#This Row],[L(mm)]]*Table1123[[#This Row],[fc (Mpa)]])</f>
        <v>1.8558158262672967E-5</v>
      </c>
      <c r="R10" s="123">
        <f>Table1123[[#This Row],[M (KN.mm)]]/(Table1123[[#This Row],[b (mm)]]*Table1123[[#This Row],[h (mm)]]*Table1123[[#This Row],[L(mm)]]/2)</f>
        <v>9.212269761590861E-4</v>
      </c>
      <c r="S10" s="123">
        <f>Table1123[[#This Row],[M (KN.mm)]]/(Table1123[[#This Row],[a (mm)]]*Table1123[[#This Row],[b (mm)]]*Table1123[[#This Row],[h (mm)]]*Table1123[[#This Row],[L(mm)]]/2)</f>
        <v>6.0447964314900659E-7</v>
      </c>
      <c r="T10" s="123">
        <f>G10/(Table1123[pho (%)]*$AK$5*AH10*0.001)</f>
        <v>2.5845856334618452E-6</v>
      </c>
      <c r="U10" s="123">
        <f>Table1123[[#This Row],[M (KN.mm)]]/(Table1123[[#This Row],[b (mm)]]*Table1123[[#This Row],[d (mm)]]*Table1123[[#This Row],[pho (%)]])</f>
        <v>3.764213531279605</v>
      </c>
      <c r="V10" s="123">
        <f>E10*224.8/(2*SQRT(Table1123[[#This Row],[fc (Mpa)]]*145.037)*Table1123[[#This Row],[b (mm)]]*Table1123[[#This Row],[d (mm)]]*(1/25.4)^2)</f>
        <v>2.0598321251563974</v>
      </c>
      <c r="W10" s="123">
        <f>Table1123[[#This Row],[M (KN.mm)]]/$G$17</f>
        <v>1.106060606060606</v>
      </c>
      <c r="X10" s="123">
        <f t="shared" si="5"/>
        <v>2.0598321251563974</v>
      </c>
      <c r="Y10" s="123">
        <f t="shared" si="6"/>
        <v>1524</v>
      </c>
      <c r="Z10" s="123">
        <f t="shared" si="7"/>
        <v>666.75</v>
      </c>
      <c r="AA10" s="123">
        <f t="shared" si="8"/>
        <v>762</v>
      </c>
      <c r="AB10" s="103">
        <f t="shared" si="4"/>
        <v>571.5</v>
      </c>
      <c r="AC10" s="103">
        <v>24.82</v>
      </c>
      <c r="AD10" s="123">
        <f>Table1123[[#This Row],[pho (%)]]/100*Table1123[[#This Row],[b (mm)]]*Table1123[[#This Row],[h (mm)]]</f>
        <v>3004.8326999999999</v>
      </c>
      <c r="AE10" s="125">
        <v>0.69</v>
      </c>
      <c r="AF10" s="123">
        <v>455</v>
      </c>
      <c r="AG10" s="123">
        <f>(1/3-0.21*(MIN(Table1123[[#This Row],[b (mm)]],AA10)/MAX(Table1123[[#This Row],[b (mm)]],AA10))*(MIN(Table1123[[#This Row],[b (mm)]],AA10)^4/(12*MAX(Table1123[[#This Row],[b (mm)]],AA10)^4)))*MAX(Table1123[[#This Row],[b (mm)]],AA10)*MIN(Table1123[[#This Row],[b (mm)]],AA10)^3</f>
        <v>46820686568.646629</v>
      </c>
      <c r="AH10" s="123">
        <f>Table1123[[#This Row],[b (mm)]]*AA10^3/12</f>
        <v>21071715921</v>
      </c>
      <c r="AI10" s="123">
        <f t="shared" si="9"/>
        <v>4933.95</v>
      </c>
      <c r="AJ10" s="106"/>
      <c r="AK10" s="107"/>
    </row>
    <row r="11" spans="1:39" x14ac:dyDescent="0.25">
      <c r="A11" s="113" t="s">
        <v>56</v>
      </c>
      <c r="B11" s="123" t="s">
        <v>60</v>
      </c>
      <c r="C11" s="123">
        <v>10</v>
      </c>
      <c r="D11" s="123">
        <f>Table1123[[#This Row],[a (mm)]]/Table1123[[#This Row],[d (mm)]]</f>
        <v>2.2857142857142856</v>
      </c>
      <c r="E11" s="123">
        <v>253.53600000000003</v>
      </c>
      <c r="F11" s="124">
        <f>Table1123[[#This Row],[d (mm)]]</f>
        <v>666.75</v>
      </c>
      <c r="G11" s="123">
        <f t="shared" si="0"/>
        <v>386388.86400000006</v>
      </c>
      <c r="H11" s="123">
        <f t="shared" si="1"/>
        <v>6.9624488331544097E-7</v>
      </c>
      <c r="I11" s="123">
        <f>G11/(Table1123[[#This Row],[b (mm)]]*Z11^2)</f>
        <v>1.5208357672951175E-3</v>
      </c>
      <c r="J11" s="123">
        <f t="shared" si="2"/>
        <v>0.40542276260559656</v>
      </c>
      <c r="K11" s="123">
        <f t="shared" si="3"/>
        <v>1.7245357760015423E-7</v>
      </c>
      <c r="L11" s="123">
        <f>E11/(Table1123[[#This Row],[b (mm)]]*Z11)</f>
        <v>6.6536564819161389E-4</v>
      </c>
      <c r="M11" s="123">
        <f>Table1123[[#This Row],[M (KN.mm)]]/(Table1123[[#This Row],[b (mm)]]*Table1123[[#This Row],[d (mm)]])</f>
        <v>1.0140172478440197</v>
      </c>
      <c r="N11" s="123">
        <f>Table1123[[#This Row],[M (KN.mm)]]/(Table1123[[#This Row],[b (mm)]]*Table1123[[#This Row],[h (mm)]])</f>
        <v>0.88726509186351721</v>
      </c>
      <c r="O11" s="123">
        <f>Table1123[[#This Row],[M (KN.mm)]]/(Table1123[[#This Row],[b (mm)]]*Table1123[[#This Row],[h (mm)]]*Table1123[[#This Row],[L(mm)]])</f>
        <v>1.7913690528235761E-4</v>
      </c>
      <c r="P11" s="123">
        <f>Table1123[[#This Row],[M (KN.mm)]]/(Table1123[[#This Row],[b (mm)]]*Table1123[[#This Row],[d (mm)]]*Table1123[[#This Row],[L(mm)]])</f>
        <v>2.0472789175126583E-4</v>
      </c>
      <c r="Q11" s="123">
        <f>Table1123[[#This Row],[M (KN.mm)]]/(Table1123[[#This Row],[b (mm)]]*Table1123[[#This Row],[h (mm)]]*Table1123[[#This Row],[L(mm)]]*Table1123[[#This Row],[fc (Mpa)]])</f>
        <v>5.5289168297023958E-6</v>
      </c>
      <c r="R11" s="123">
        <f>Table1123[[#This Row],[M (KN.mm)]]/(Table1123[[#This Row],[b (mm)]]*Table1123[[#This Row],[h (mm)]]*Table1123[[#This Row],[L(mm)]]/2)</f>
        <v>3.5827381056471522E-4</v>
      </c>
      <c r="S11" s="123">
        <f>Table1123[[#This Row],[M (KN.mm)]]/(Table1123[[#This Row],[a (mm)]]*Table1123[[#This Row],[b (mm)]]*Table1123[[#This Row],[h (mm)]]*Table1123[[#This Row],[L(mm)]]/2)</f>
        <v>2.3508780220781839E-7</v>
      </c>
      <c r="T11" s="123">
        <f>G11/(Table1123[pho (%)]*$AK$5*AH11*0.001)</f>
        <v>1.0090505555296248E-6</v>
      </c>
      <c r="U11" s="123">
        <f>Table1123[[#This Row],[M (KN.mm)]]/(Table1123[[#This Row],[b (mm)]]*Table1123[[#This Row],[d (mm)]]*Table1123[[#This Row],[pho (%)]])</f>
        <v>1.4695902142666954</v>
      </c>
      <c r="V11" s="123">
        <f>E11*224.8/(2*SQRT(Table1123[[#This Row],[fc (Mpa)]]*145.037)*Table1123[[#This Row],[b (mm)]]*Table1123[[#This Row],[d (mm)]]*(1/25.4)^2)</f>
        <v>0.7038533961982727</v>
      </c>
      <c r="W11" s="123">
        <f>Table1123[[#This Row],[M (KN.mm)]]/$G$17</f>
        <v>0.43181818181818182</v>
      </c>
      <c r="X11" s="123">
        <f t="shared" si="5"/>
        <v>0.7038533961982727</v>
      </c>
      <c r="Y11" s="123">
        <f t="shared" si="6"/>
        <v>1524</v>
      </c>
      <c r="Z11" s="123">
        <f t="shared" si="7"/>
        <v>666.75</v>
      </c>
      <c r="AA11" s="123">
        <f t="shared" si="8"/>
        <v>762</v>
      </c>
      <c r="AB11" s="103">
        <f t="shared" si="4"/>
        <v>571.5</v>
      </c>
      <c r="AC11" s="103">
        <v>32.4</v>
      </c>
      <c r="AD11" s="123">
        <f>Table1123[[#This Row],[pho (%)]]/100*Table1123[[#This Row],[b (mm)]]*Table1123[[#This Row],[h (mm)]]</f>
        <v>3004.8326999999999</v>
      </c>
      <c r="AE11" s="125">
        <v>0.69</v>
      </c>
      <c r="AF11" s="123">
        <v>475.7</v>
      </c>
      <c r="AG11" s="123">
        <f>(1/3-0.21*(MIN(Table1123[[#This Row],[b (mm)]],AA11)/MAX(Table1123[[#This Row],[b (mm)]],AA11))*(MIN(Table1123[[#This Row],[b (mm)]],AA11)^4/(12*MAX(Table1123[[#This Row],[b (mm)]],AA11)^4)))*MAX(Table1123[[#This Row],[b (mm)]],AA11)*MIN(Table1123[[#This Row],[b (mm)]],AA11)^3</f>
        <v>46820686568.646629</v>
      </c>
      <c r="AH11" s="123">
        <f>Table1123[[#This Row],[b (mm)]]*AA11^3/12</f>
        <v>21071715921</v>
      </c>
      <c r="AI11" s="123">
        <f>195*25.4</f>
        <v>4953</v>
      </c>
      <c r="AJ11" s="106"/>
      <c r="AK11" s="107"/>
    </row>
    <row r="12" spans="1:39" x14ac:dyDescent="0.25">
      <c r="A12" s="113" t="s">
        <v>56</v>
      </c>
      <c r="B12" s="123" t="s">
        <v>61</v>
      </c>
      <c r="C12" s="123">
        <v>11</v>
      </c>
      <c r="D12" s="123">
        <f>Table1123[[#This Row],[a (mm)]]/Table1123[[#This Row],[d (mm)]]</f>
        <v>2.2857142857142856</v>
      </c>
      <c r="E12" s="123">
        <v>338.048</v>
      </c>
      <c r="F12" s="124">
        <f>Table1123[[#This Row],[d (mm)]]</f>
        <v>666.75</v>
      </c>
      <c r="G12" s="123">
        <f t="shared" si="0"/>
        <v>515185.152</v>
      </c>
      <c r="H12" s="123">
        <f t="shared" si="1"/>
        <v>9.2832651108725445E-7</v>
      </c>
      <c r="I12" s="123">
        <f>G12/(Table1123[[#This Row],[b (mm)]]*Z12^2)</f>
        <v>2.0277810230601564E-3</v>
      </c>
      <c r="J12" s="123">
        <f t="shared" si="2"/>
        <v>0.54056368347412875</v>
      </c>
      <c r="K12" s="123">
        <f t="shared" si="3"/>
        <v>2.2993810346687226E-7</v>
      </c>
      <c r="L12" s="123">
        <f>E12/(Table1123[[#This Row],[b (mm)]]*Z12)</f>
        <v>8.8715419758881849E-4</v>
      </c>
      <c r="M12" s="123">
        <f>Table1123[[#This Row],[M (KN.mm)]]/(Table1123[[#This Row],[b (mm)]]*Table1123[[#This Row],[d (mm)]])</f>
        <v>1.3520229971253592</v>
      </c>
      <c r="N12" s="123">
        <f>Table1123[[#This Row],[M (KN.mm)]]/(Table1123[[#This Row],[b (mm)]]*Table1123[[#This Row],[h (mm)]])</f>
        <v>1.1830201224846895</v>
      </c>
      <c r="O12" s="123">
        <f>Table1123[[#This Row],[M (KN.mm)]]/(Table1123[[#This Row],[b (mm)]]*Table1123[[#This Row],[h (mm)]]*Table1123[[#This Row],[L(mm)]])</f>
        <v>2.3884920704314344E-4</v>
      </c>
      <c r="P12" s="123">
        <f>Table1123[[#This Row],[M (KN.mm)]]/(Table1123[[#This Row],[b (mm)]]*Table1123[[#This Row],[d (mm)]]*Table1123[[#This Row],[L(mm)]])</f>
        <v>2.7297052233502109E-4</v>
      </c>
      <c r="Q12" s="123">
        <f>Table1123[[#This Row],[M (KN.mm)]]/(Table1123[[#This Row],[b (mm)]]*Table1123[[#This Row],[h (mm)]]*Table1123[[#This Row],[L(mm)]]*Table1123[[#This Row],[fc (Mpa)]])</f>
        <v>7.3718891062698602E-6</v>
      </c>
      <c r="R12" s="123">
        <f>Table1123[[#This Row],[M (KN.mm)]]/(Table1123[[#This Row],[b (mm)]]*Table1123[[#This Row],[h (mm)]]*Table1123[[#This Row],[L(mm)]]/2)</f>
        <v>4.7769841408628689E-4</v>
      </c>
      <c r="S12" s="123">
        <f>Table1123[[#This Row],[M (KN.mm)]]/(Table1123[[#This Row],[a (mm)]]*Table1123[[#This Row],[b (mm)]]*Table1123[[#This Row],[h (mm)]]*Table1123[[#This Row],[L(mm)]]/2)</f>
        <v>3.1345040294375778E-7</v>
      </c>
      <c r="T12" s="123">
        <f>G12/(Table1123[pho (%)]*$AK$5*AH12*0.001)</f>
        <v>1.3454007407061661E-6</v>
      </c>
      <c r="U12" s="123">
        <f>Table1123[[#This Row],[M (KN.mm)]]/(Table1123[[#This Row],[b (mm)]]*Table1123[[#This Row],[d (mm)]]*Table1123[[#This Row],[pho (%)]])</f>
        <v>1.9594536190222602</v>
      </c>
      <c r="V12" s="123">
        <f>E12*224.8/(2*SQRT(Table1123[[#This Row],[fc (Mpa)]]*145.037)*Table1123[[#This Row],[b (mm)]]*Table1123[[#This Row],[d (mm)]]*(1/25.4)^2)</f>
        <v>0.93847119493103015</v>
      </c>
      <c r="W12" s="123">
        <f>Table1123[[#This Row],[M (KN.mm)]]/$G$17</f>
        <v>0.57575757575757569</v>
      </c>
      <c r="X12" s="123">
        <f t="shared" si="5"/>
        <v>0.93847119493103015</v>
      </c>
      <c r="Y12" s="123">
        <f t="shared" si="6"/>
        <v>1524</v>
      </c>
      <c r="Z12" s="123">
        <f t="shared" si="7"/>
        <v>666.75</v>
      </c>
      <c r="AA12" s="123">
        <f t="shared" si="8"/>
        <v>762</v>
      </c>
      <c r="AB12" s="103">
        <f t="shared" si="4"/>
        <v>571.5</v>
      </c>
      <c r="AC12" s="103">
        <v>32.4</v>
      </c>
      <c r="AD12" s="123">
        <f>Table1123[[#This Row],[pho (%)]]/100*Table1123[[#This Row],[b (mm)]]*Table1123[[#This Row],[h (mm)]]</f>
        <v>3004.8326999999999</v>
      </c>
      <c r="AE12" s="125">
        <v>0.69</v>
      </c>
      <c r="AF12" s="123">
        <v>475.7</v>
      </c>
      <c r="AG12" s="123">
        <f>(1/3-0.21*(MIN(Table1123[[#This Row],[b (mm)]],AA12)/MAX(Table1123[[#This Row],[b (mm)]],AA12))*(MIN(Table1123[[#This Row],[b (mm)]],AA12)^4/(12*MAX(Table1123[[#This Row],[b (mm)]],AA12)^4)))*MAX(Table1123[[#This Row],[b (mm)]],AA12)*MIN(Table1123[[#This Row],[b (mm)]],AA12)^3</f>
        <v>46820686568.646629</v>
      </c>
      <c r="AH12" s="123">
        <f>Table1123[[#This Row],[b (mm)]]*AA12^3/12</f>
        <v>21071715921</v>
      </c>
      <c r="AI12" s="123">
        <f t="shared" ref="AI12:AI17" si="10">195*25.4</f>
        <v>4953</v>
      </c>
      <c r="AJ12" s="106"/>
      <c r="AK12" s="107"/>
    </row>
    <row r="13" spans="1:39" x14ac:dyDescent="0.25">
      <c r="A13" s="113" t="s">
        <v>56</v>
      </c>
      <c r="B13" s="123" t="s">
        <v>62</v>
      </c>
      <c r="C13" s="123">
        <v>12</v>
      </c>
      <c r="D13" s="123">
        <f>Table1123[[#This Row],[a (mm)]]/Table1123[[#This Row],[d (mm)]]</f>
        <v>2.2857142857142856</v>
      </c>
      <c r="E13" s="123">
        <v>422.56000000000006</v>
      </c>
      <c r="F13" s="124">
        <f>Table1123[[#This Row],[d (mm)]]</f>
        <v>666.75</v>
      </c>
      <c r="G13" s="123">
        <f t="shared" si="0"/>
        <v>643981.44000000006</v>
      </c>
      <c r="H13" s="123">
        <f t="shared" si="1"/>
        <v>1.160408138859068E-6</v>
      </c>
      <c r="I13" s="123">
        <f>G13/(Table1123[[#This Row],[b (mm)]]*Z13^2)</f>
        <v>2.5347262788251957E-3</v>
      </c>
      <c r="J13" s="123">
        <f t="shared" si="2"/>
        <v>0.675704604342661</v>
      </c>
      <c r="K13" s="123">
        <f t="shared" si="3"/>
        <v>2.874226293335904E-7</v>
      </c>
      <c r="L13" s="123">
        <f>E13/(Table1123[[#This Row],[b (mm)]]*Z13)</f>
        <v>1.1089427469860233E-3</v>
      </c>
      <c r="M13" s="123">
        <f>Table1123[[#This Row],[M (KN.mm)]]/(Table1123[[#This Row],[b (mm)]]*Table1123[[#This Row],[d (mm)]])</f>
        <v>1.6900287464066994</v>
      </c>
      <c r="N13" s="123">
        <f>Table1123[[#This Row],[M (KN.mm)]]/(Table1123[[#This Row],[b (mm)]]*Table1123[[#This Row],[h (mm)]])</f>
        <v>1.4787751531058619</v>
      </c>
      <c r="O13" s="123">
        <f>Table1123[[#This Row],[M (KN.mm)]]/(Table1123[[#This Row],[b (mm)]]*Table1123[[#This Row],[h (mm)]]*Table1123[[#This Row],[L(mm)]])</f>
        <v>2.985615088039293E-4</v>
      </c>
      <c r="P13" s="123">
        <f>Table1123[[#This Row],[M (KN.mm)]]/(Table1123[[#This Row],[b (mm)]]*Table1123[[#This Row],[d (mm)]]*Table1123[[#This Row],[L(mm)]])</f>
        <v>3.4121315291877637E-4</v>
      </c>
      <c r="Q13" s="123">
        <f>Table1123[[#This Row],[M (KN.mm)]]/(Table1123[[#This Row],[b (mm)]]*Table1123[[#This Row],[h (mm)]]*Table1123[[#This Row],[L(mm)]]*Table1123[[#This Row],[fc (Mpa)]])</f>
        <v>9.2148613828373255E-6</v>
      </c>
      <c r="R13" s="123">
        <f>Table1123[[#This Row],[M (KN.mm)]]/(Table1123[[#This Row],[b (mm)]]*Table1123[[#This Row],[h (mm)]]*Table1123[[#This Row],[L(mm)]]/2)</f>
        <v>5.9712301760785861E-4</v>
      </c>
      <c r="S13" s="123">
        <f>Table1123[[#This Row],[M (KN.mm)]]/(Table1123[[#This Row],[a (mm)]]*Table1123[[#This Row],[b (mm)]]*Table1123[[#This Row],[h (mm)]]*Table1123[[#This Row],[L(mm)]]/2)</f>
        <v>3.9181300367969725E-7</v>
      </c>
      <c r="T13" s="123">
        <f>G13/(Table1123[pho (%)]*$AK$5*AH13*0.001)</f>
        <v>1.6817509258827078E-6</v>
      </c>
      <c r="U13" s="123">
        <f>Table1123[[#This Row],[M (KN.mm)]]/(Table1123[[#This Row],[b (mm)]]*Table1123[[#This Row],[d (mm)]]*Table1123[[#This Row],[pho (%)]])</f>
        <v>2.4493170237778257</v>
      </c>
      <c r="V13" s="123">
        <f>E13*224.8/(2*SQRT(Table1123[[#This Row],[fc (Mpa)]]*145.037)*Table1123[[#This Row],[b (mm)]]*Table1123[[#This Row],[d (mm)]]*(1/25.4)^2)</f>
        <v>1.1730889936637878</v>
      </c>
      <c r="W13" s="123">
        <f>Table1123[[#This Row],[M (KN.mm)]]/$G$17</f>
        <v>0.71969696969696972</v>
      </c>
      <c r="X13" s="123">
        <f t="shared" si="5"/>
        <v>1.1730889936637878</v>
      </c>
      <c r="Y13" s="123">
        <f t="shared" si="6"/>
        <v>1524</v>
      </c>
      <c r="Z13" s="123">
        <f t="shared" si="7"/>
        <v>666.75</v>
      </c>
      <c r="AA13" s="123">
        <f t="shared" si="8"/>
        <v>762</v>
      </c>
      <c r="AB13" s="103">
        <f t="shared" si="4"/>
        <v>571.5</v>
      </c>
      <c r="AC13" s="103">
        <v>32.4</v>
      </c>
      <c r="AD13" s="123">
        <f>Table1123[[#This Row],[pho (%)]]/100*Table1123[[#This Row],[b (mm)]]*Table1123[[#This Row],[h (mm)]]</f>
        <v>3004.8326999999999</v>
      </c>
      <c r="AE13" s="125">
        <v>0.69</v>
      </c>
      <c r="AF13" s="123">
        <v>475.7</v>
      </c>
      <c r="AG13" s="123">
        <f>(1/3-0.21*(MIN(Table1123[[#This Row],[b (mm)]],AA13)/MAX(Table1123[[#This Row],[b (mm)]],AA13))*(MIN(Table1123[[#This Row],[b (mm)]],AA13)^4/(12*MAX(Table1123[[#This Row],[b (mm)]],AA13)^4)))*MAX(Table1123[[#This Row],[b (mm)]],AA13)*MIN(Table1123[[#This Row],[b (mm)]],AA13)^3</f>
        <v>46820686568.646629</v>
      </c>
      <c r="AH13" s="123">
        <f>Table1123[[#This Row],[b (mm)]]*AA13^3/12</f>
        <v>21071715921</v>
      </c>
      <c r="AI13" s="123">
        <f t="shared" si="10"/>
        <v>4953</v>
      </c>
      <c r="AJ13" s="106"/>
      <c r="AK13" s="107"/>
    </row>
    <row r="14" spans="1:39" x14ac:dyDescent="0.25">
      <c r="A14" s="113" t="s">
        <v>56</v>
      </c>
      <c r="B14" s="123" t="s">
        <v>63</v>
      </c>
      <c r="C14" s="123">
        <v>13</v>
      </c>
      <c r="D14" s="123">
        <f>Table1123[[#This Row],[a (mm)]]/Table1123[[#This Row],[d (mm)]]</f>
        <v>2.2857142857142856</v>
      </c>
      <c r="E14" s="123">
        <v>467.04</v>
      </c>
      <c r="F14" s="124">
        <f>Table1123[[#This Row],[d (mm)]]</f>
        <v>666.75</v>
      </c>
      <c r="G14" s="123">
        <f t="shared" si="0"/>
        <v>711768.96000000008</v>
      </c>
      <c r="H14" s="123">
        <f t="shared" si="1"/>
        <v>1.2825563640021279E-6</v>
      </c>
      <c r="I14" s="123">
        <f>G14/(Table1123[[#This Row],[b (mm)]]*Z14^2)</f>
        <v>2.8015395713331111E-3</v>
      </c>
      <c r="J14" s="123">
        <f t="shared" si="2"/>
        <v>0.74683140479978316</v>
      </c>
      <c r="K14" s="123">
        <f t="shared" si="3"/>
        <v>3.1767764294765246E-7</v>
      </c>
      <c r="L14" s="123">
        <f>E14/(Table1123[[#This Row],[b (mm)]]*Z14)</f>
        <v>1.2256735624582361E-3</v>
      </c>
      <c r="M14" s="123">
        <f>Table1123[[#This Row],[M (KN.mm)]]/(Table1123[[#This Row],[b (mm)]]*Table1123[[#This Row],[d (mm)]])</f>
        <v>1.8679265091863519</v>
      </c>
      <c r="N14" s="123">
        <f>Table1123[[#This Row],[M (KN.mm)]]/(Table1123[[#This Row],[b (mm)]]*Table1123[[#This Row],[h (mm)]])</f>
        <v>1.6344356955380579</v>
      </c>
      <c r="O14" s="123">
        <f>Table1123[[#This Row],[M (KN.mm)]]/(Table1123[[#This Row],[b (mm)]]*Table1123[[#This Row],[h (mm)]]*Table1123[[#This Row],[L(mm)]])</f>
        <v>3.299890360464482E-4</v>
      </c>
      <c r="P14" s="123">
        <f>Table1123[[#This Row],[M (KN.mm)]]/(Table1123[[#This Row],[b (mm)]]*Table1123[[#This Row],[d (mm)]]*Table1123[[#This Row],[L(mm)]])</f>
        <v>3.7713032691022653E-4</v>
      </c>
      <c r="Q14" s="123">
        <f>Table1123[[#This Row],[M (KN.mm)]]/(Table1123[[#This Row],[b (mm)]]*Table1123[[#This Row],[h (mm)]]*Table1123[[#This Row],[L(mm)]]*Table1123[[#This Row],[fc (Mpa)]])</f>
        <v>1.0184846791557045E-5</v>
      </c>
      <c r="R14" s="123">
        <f>Table1123[[#This Row],[M (KN.mm)]]/(Table1123[[#This Row],[b (mm)]]*Table1123[[#This Row],[h (mm)]]*Table1123[[#This Row],[L(mm)]]/2)</f>
        <v>6.5997807209289641E-4</v>
      </c>
      <c r="S14" s="123">
        <f>Table1123[[#This Row],[M (KN.mm)]]/(Table1123[[#This Row],[a (mm)]]*Table1123[[#This Row],[b (mm)]]*Table1123[[#This Row],[h (mm)]]*Table1123[[#This Row],[L(mm)]]/2)</f>
        <v>4.3305647775124434E-7</v>
      </c>
      <c r="T14" s="123">
        <f>G14/(Table1123[pho (%)]*$AK$5*AH14*0.001)</f>
        <v>1.858777339133519E-6</v>
      </c>
      <c r="U14" s="123">
        <f>Table1123[[#This Row],[M (KN.mm)]]/(Table1123[[#This Row],[b (mm)]]*Table1123[[#This Row],[d (mm)]]*Table1123[[#This Row],[pho (%)]])</f>
        <v>2.7071398683860175</v>
      </c>
      <c r="V14" s="123">
        <f>E14*224.8/(2*SQRT(Table1123[[#This Row],[fc (Mpa)]]*145.037)*Table1123[[#This Row],[b (mm)]]*Table1123[[#This Row],[d (mm)]]*(1/25.4)^2)</f>
        <v>1.2965720456283969</v>
      </c>
      <c r="W14" s="123">
        <f>Table1123[[#This Row],[M (KN.mm)]]/$G$17</f>
        <v>0.79545454545454541</v>
      </c>
      <c r="X14" s="123">
        <f t="shared" si="5"/>
        <v>1.2965720456283969</v>
      </c>
      <c r="Y14" s="123">
        <f t="shared" si="6"/>
        <v>1524</v>
      </c>
      <c r="Z14" s="123">
        <f t="shared" si="7"/>
        <v>666.75</v>
      </c>
      <c r="AA14" s="123">
        <f t="shared" si="8"/>
        <v>762</v>
      </c>
      <c r="AB14" s="103">
        <f t="shared" si="4"/>
        <v>571.5</v>
      </c>
      <c r="AC14" s="103">
        <v>32.4</v>
      </c>
      <c r="AD14" s="123">
        <f>Table1123[[#This Row],[pho (%)]]/100*Table1123[[#This Row],[b (mm)]]*Table1123[[#This Row],[h (mm)]]</f>
        <v>3004.8326999999999</v>
      </c>
      <c r="AE14" s="125">
        <v>0.69</v>
      </c>
      <c r="AF14" s="123">
        <v>475.7</v>
      </c>
      <c r="AG14" s="123">
        <f>(1/3-0.21*(MIN(Table1123[[#This Row],[b (mm)]],AA14)/MAX(Table1123[[#This Row],[b (mm)]],AA14))*(MIN(Table1123[[#This Row],[b (mm)]],AA14)^4/(12*MAX(Table1123[[#This Row],[b (mm)]],AA14)^4)))*MAX(Table1123[[#This Row],[b (mm)]],AA14)*MIN(Table1123[[#This Row],[b (mm)]],AA14)^3</f>
        <v>46820686568.646629</v>
      </c>
      <c r="AH14" s="123">
        <f>Table1123[[#This Row],[b (mm)]]*AA14^3/12</f>
        <v>21071715921</v>
      </c>
      <c r="AI14" s="123">
        <f t="shared" si="10"/>
        <v>4953</v>
      </c>
      <c r="AJ14" s="106"/>
      <c r="AK14" s="107"/>
    </row>
    <row r="15" spans="1:39" x14ac:dyDescent="0.25">
      <c r="A15" s="113" t="s">
        <v>56</v>
      </c>
      <c r="B15" s="123" t="s">
        <v>64</v>
      </c>
      <c r="C15" s="123">
        <v>14</v>
      </c>
      <c r="D15" s="123">
        <f>Table1123[[#This Row],[a (mm)]]/Table1123[[#This Row],[d (mm)]]</f>
        <v>2.2857142857142856</v>
      </c>
      <c r="E15" s="123">
        <v>507.07200000000006</v>
      </c>
      <c r="F15" s="124">
        <f>Table1123[[#This Row],[d (mm)]]</f>
        <v>666.75</v>
      </c>
      <c r="G15" s="123">
        <f t="shared" si="0"/>
        <v>772777.72800000012</v>
      </c>
      <c r="H15" s="123">
        <f t="shared" si="1"/>
        <v>1.3924897666308819E-6</v>
      </c>
      <c r="I15" s="123">
        <f>G15/(Table1123[[#This Row],[b (mm)]]*Z15^2)</f>
        <v>3.0416715345902351E-3</v>
      </c>
      <c r="J15" s="123">
        <f t="shared" si="2"/>
        <v>0.81084552521119313</v>
      </c>
      <c r="K15" s="123">
        <f t="shared" si="3"/>
        <v>3.4490715520030845E-7</v>
      </c>
      <c r="L15" s="123">
        <f>E15/(Table1123[[#This Row],[b (mm)]]*Z15)</f>
        <v>1.3307312963832278E-3</v>
      </c>
      <c r="M15" s="123">
        <f>Table1123[[#This Row],[M (KN.mm)]]/(Table1123[[#This Row],[b (mm)]]*Table1123[[#This Row],[d (mm)]])</f>
        <v>2.0280344956880394</v>
      </c>
      <c r="N15" s="123">
        <f>Table1123[[#This Row],[M (KN.mm)]]/(Table1123[[#This Row],[b (mm)]]*Table1123[[#This Row],[h (mm)]])</f>
        <v>1.7745301837270344</v>
      </c>
      <c r="O15" s="123">
        <f>Table1123[[#This Row],[M (KN.mm)]]/(Table1123[[#This Row],[b (mm)]]*Table1123[[#This Row],[h (mm)]]*Table1123[[#This Row],[L(mm)]])</f>
        <v>3.5827381056471522E-4</v>
      </c>
      <c r="P15" s="123">
        <f>Table1123[[#This Row],[M (KN.mm)]]/(Table1123[[#This Row],[b (mm)]]*Table1123[[#This Row],[d (mm)]]*Table1123[[#This Row],[L(mm)]])</f>
        <v>4.0945578350253165E-4</v>
      </c>
      <c r="Q15" s="123">
        <f>Table1123[[#This Row],[M (KN.mm)]]/(Table1123[[#This Row],[b (mm)]]*Table1123[[#This Row],[h (mm)]]*Table1123[[#This Row],[L(mm)]]*Table1123[[#This Row],[fc (Mpa)]])</f>
        <v>1.1057833659404792E-5</v>
      </c>
      <c r="R15" s="123">
        <f>Table1123[[#This Row],[M (KN.mm)]]/(Table1123[[#This Row],[b (mm)]]*Table1123[[#This Row],[h (mm)]]*Table1123[[#This Row],[L(mm)]]/2)</f>
        <v>7.1654762112943044E-4</v>
      </c>
      <c r="S15" s="123">
        <f>Table1123[[#This Row],[M (KN.mm)]]/(Table1123[[#This Row],[a (mm)]]*Table1123[[#This Row],[b (mm)]]*Table1123[[#This Row],[h (mm)]]*Table1123[[#This Row],[L(mm)]]/2)</f>
        <v>4.7017560441563677E-7</v>
      </c>
      <c r="T15" s="123">
        <f>G15/(Table1123[pho (%)]*$AK$5*AH15*0.001)</f>
        <v>2.0181011110592496E-6</v>
      </c>
      <c r="U15" s="123">
        <f>Table1123[[#This Row],[M (KN.mm)]]/(Table1123[[#This Row],[b (mm)]]*Table1123[[#This Row],[d (mm)]]*Table1123[[#This Row],[pho (%)]])</f>
        <v>2.9391804285333909</v>
      </c>
      <c r="V15" s="123">
        <f>E15*224.8/(2*SQRT(Table1123[[#This Row],[fc (Mpa)]]*145.037)*Table1123[[#This Row],[b (mm)]]*Table1123[[#This Row],[d (mm)]]*(1/25.4)^2)</f>
        <v>1.4077067923965454</v>
      </c>
      <c r="W15" s="123">
        <f>Table1123[[#This Row],[M (KN.mm)]]/$G$17</f>
        <v>0.86363636363636365</v>
      </c>
      <c r="X15" s="123">
        <f t="shared" si="5"/>
        <v>1.4077067923965454</v>
      </c>
      <c r="Y15" s="123">
        <f t="shared" si="6"/>
        <v>1524</v>
      </c>
      <c r="Z15" s="123">
        <f t="shared" si="7"/>
        <v>666.75</v>
      </c>
      <c r="AA15" s="123">
        <f t="shared" si="8"/>
        <v>762</v>
      </c>
      <c r="AB15" s="103">
        <f t="shared" si="4"/>
        <v>571.5</v>
      </c>
      <c r="AC15" s="103">
        <v>32.4</v>
      </c>
      <c r="AD15" s="123">
        <f>Table1123[[#This Row],[pho (%)]]/100*Table1123[[#This Row],[b (mm)]]*Table1123[[#This Row],[h (mm)]]</f>
        <v>3004.8326999999999</v>
      </c>
      <c r="AE15" s="125">
        <v>0.69</v>
      </c>
      <c r="AF15" s="123">
        <v>475.7</v>
      </c>
      <c r="AG15" s="123">
        <f>(1/3-0.21*(MIN(Table1123[[#This Row],[b (mm)]],AA15)/MAX(Table1123[[#This Row],[b (mm)]],AA15))*(MIN(Table1123[[#This Row],[b (mm)]],AA15)^4/(12*MAX(Table1123[[#This Row],[b (mm)]],AA15)^4)))*MAX(Table1123[[#This Row],[b (mm)]],AA15)*MIN(Table1123[[#This Row],[b (mm)]],AA15)^3</f>
        <v>46820686568.646629</v>
      </c>
      <c r="AH15" s="123">
        <f>Table1123[[#This Row],[b (mm)]]*AA15^3/12</f>
        <v>21071715921</v>
      </c>
      <c r="AI15" s="123">
        <f t="shared" si="10"/>
        <v>4953</v>
      </c>
      <c r="AJ15" s="106"/>
      <c r="AK15" s="107"/>
    </row>
    <row r="16" spans="1:39" x14ac:dyDescent="0.25">
      <c r="A16" s="113" t="s">
        <v>56</v>
      </c>
      <c r="B16" s="123" t="s">
        <v>65</v>
      </c>
      <c r="C16" s="123">
        <v>15</v>
      </c>
      <c r="D16" s="123">
        <f>Table1123[[#This Row],[a (mm)]]/Table1123[[#This Row],[d (mm)]]</f>
        <v>2.2857142857142856</v>
      </c>
      <c r="E16" s="123">
        <v>551.55200000000002</v>
      </c>
      <c r="F16" s="124">
        <f>Table1123[[#This Row],[d (mm)]]</f>
        <v>666.75</v>
      </c>
      <c r="G16" s="123">
        <f t="shared" si="0"/>
        <v>840565.24800000002</v>
      </c>
      <c r="H16" s="123">
        <f t="shared" si="1"/>
        <v>1.5146379917739416E-6</v>
      </c>
      <c r="I16" s="123">
        <f>G16/(Table1123[[#This Row],[b (mm)]]*Z16^2)</f>
        <v>3.3084848270981499E-3</v>
      </c>
      <c r="J16" s="123">
        <f t="shared" si="2"/>
        <v>0.88197232566831529</v>
      </c>
      <c r="K16" s="123">
        <f t="shared" si="3"/>
        <v>3.7516216881437057E-7</v>
      </c>
      <c r="L16" s="123">
        <f>E16/(Table1123[[#This Row],[b (mm)]]*Z16)</f>
        <v>1.4474621118554408E-3</v>
      </c>
      <c r="M16" s="123">
        <f>Table1123[[#This Row],[M (KN.mm)]]/(Table1123[[#This Row],[b (mm)]]*Table1123[[#This Row],[d (mm)]])</f>
        <v>2.2059322584676915</v>
      </c>
      <c r="N16" s="123">
        <f>Table1123[[#This Row],[M (KN.mm)]]/(Table1123[[#This Row],[b (mm)]]*Table1123[[#This Row],[h (mm)]])</f>
        <v>1.9301907261592302</v>
      </c>
      <c r="O16" s="123">
        <f>Table1123[[#This Row],[M (KN.mm)]]/(Table1123[[#This Row],[b (mm)]]*Table1123[[#This Row],[h (mm)]]*Table1123[[#This Row],[L(mm)]])</f>
        <v>3.8970133780723401E-4</v>
      </c>
      <c r="P16" s="123">
        <f>Table1123[[#This Row],[M (KN.mm)]]/(Table1123[[#This Row],[b (mm)]]*Table1123[[#This Row],[d (mm)]]*Table1123[[#This Row],[L(mm)]])</f>
        <v>4.4537295749398176E-4</v>
      </c>
      <c r="Q16" s="123">
        <f>Table1123[[#This Row],[M (KN.mm)]]/(Table1123[[#This Row],[b (mm)]]*Table1123[[#This Row],[h (mm)]]*Table1123[[#This Row],[L(mm)]]*Table1123[[#This Row],[fc (Mpa)]])</f>
        <v>1.2027819068124509E-5</v>
      </c>
      <c r="R16" s="123">
        <f>Table1123[[#This Row],[M (KN.mm)]]/(Table1123[[#This Row],[b (mm)]]*Table1123[[#This Row],[h (mm)]]*Table1123[[#This Row],[L(mm)]]/2)</f>
        <v>7.7940267561446802E-4</v>
      </c>
      <c r="S16" s="123">
        <f>Table1123[[#This Row],[M (KN.mm)]]/(Table1123[[#This Row],[a (mm)]]*Table1123[[#This Row],[b (mm)]]*Table1123[[#This Row],[h (mm)]]*Table1123[[#This Row],[L(mm)]]/2)</f>
        <v>5.1141907848718376E-7</v>
      </c>
      <c r="T16" s="123">
        <f>G16/(Table1123[pho (%)]*$AK$5*AH16*0.001)</f>
        <v>2.1951275243100605E-6</v>
      </c>
      <c r="U16" s="123">
        <f>Table1123[[#This Row],[M (KN.mm)]]/(Table1123[[#This Row],[b (mm)]]*Table1123[[#This Row],[d (mm)]]*Table1123[[#This Row],[pho (%)]])</f>
        <v>3.1970032731415827</v>
      </c>
      <c r="V16" s="123">
        <f>E16*224.8/(2*SQRT(Table1123[[#This Row],[fc (Mpa)]]*145.037)*Table1123[[#This Row],[b (mm)]]*Table1123[[#This Row],[d (mm)]]*(1/25.4)^2)</f>
        <v>1.5311898443611545</v>
      </c>
      <c r="W16" s="123">
        <f>Table1123[[#This Row],[M (KN.mm)]]/$G$17</f>
        <v>0.93939393939393934</v>
      </c>
      <c r="X16" s="123">
        <f t="shared" si="5"/>
        <v>1.5311898443611545</v>
      </c>
      <c r="Y16" s="123">
        <f t="shared" si="6"/>
        <v>1524</v>
      </c>
      <c r="Z16" s="123">
        <f t="shared" si="7"/>
        <v>666.75</v>
      </c>
      <c r="AA16" s="123">
        <f t="shared" si="8"/>
        <v>762</v>
      </c>
      <c r="AB16" s="103">
        <f t="shared" si="4"/>
        <v>571.5</v>
      </c>
      <c r="AC16" s="103">
        <v>32.4</v>
      </c>
      <c r="AD16" s="123">
        <f>Table1123[[#This Row],[pho (%)]]/100*Table1123[[#This Row],[b (mm)]]*Table1123[[#This Row],[h (mm)]]</f>
        <v>3004.8326999999999</v>
      </c>
      <c r="AE16" s="125">
        <v>0.69</v>
      </c>
      <c r="AF16" s="123">
        <v>475.7</v>
      </c>
      <c r="AG16" s="123">
        <f>(1/3-0.21*(MIN(Table1123[[#This Row],[b (mm)]],AA16)/MAX(Table1123[[#This Row],[b (mm)]],AA16))*(MIN(Table1123[[#This Row],[b (mm)]],AA16)^4/(12*MAX(Table1123[[#This Row],[b (mm)]],AA16)^4)))*MAX(Table1123[[#This Row],[b (mm)]],AA16)*MIN(Table1123[[#This Row],[b (mm)]],AA16)^3</f>
        <v>46820686568.646629</v>
      </c>
      <c r="AH16" s="123">
        <f>Table1123[[#This Row],[b (mm)]]*AA16^3/12</f>
        <v>21071715921</v>
      </c>
      <c r="AI16" s="123">
        <f t="shared" si="10"/>
        <v>4953</v>
      </c>
      <c r="AJ16" s="106"/>
      <c r="AK16" s="107"/>
    </row>
    <row r="17" spans="1:39" x14ac:dyDescent="0.25">
      <c r="A17" s="114" t="s">
        <v>56</v>
      </c>
      <c r="B17" s="123" t="s">
        <v>66</v>
      </c>
      <c r="C17" s="123">
        <v>16</v>
      </c>
      <c r="D17" s="123">
        <f>Table1123[[#This Row],[a (mm)]]/Table1123[[#This Row],[d (mm)]]</f>
        <v>2.2857142857142856</v>
      </c>
      <c r="E17" s="123">
        <v>587.13600000000008</v>
      </c>
      <c r="F17" s="124">
        <f>Table1123[[#This Row],[d (mm)]]</f>
        <v>666.75</v>
      </c>
      <c r="G17" s="123">
        <f t="shared" si="0"/>
        <v>894795.26400000008</v>
      </c>
      <c r="H17" s="123">
        <f t="shared" si="1"/>
        <v>1.6123565718883895E-6</v>
      </c>
      <c r="I17" s="123">
        <f>G17/(Table1123[[#This Row],[b (mm)]]*Z17^2)</f>
        <v>3.5219354611044826E-3</v>
      </c>
      <c r="J17" s="123">
        <f t="shared" si="2"/>
        <v>0.93887376603401307</v>
      </c>
      <c r="K17" s="123">
        <f t="shared" si="3"/>
        <v>3.9936617970562029E-7</v>
      </c>
      <c r="L17" s="123">
        <f>E17/(Table1123[[#This Row],[b (mm)]]*Z17)</f>
        <v>1.5408467642332112E-3</v>
      </c>
      <c r="M17" s="123">
        <f>Table1123[[#This Row],[M (KN.mm)]]/(Table1123[[#This Row],[b (mm)]]*Table1123[[#This Row],[d (mm)]])</f>
        <v>2.3482504686914139</v>
      </c>
      <c r="N17" s="123">
        <f>Table1123[[#This Row],[M (KN.mm)]]/(Table1123[[#This Row],[b (mm)]]*Table1123[[#This Row],[h (mm)]])</f>
        <v>2.054719160104987</v>
      </c>
      <c r="O17" s="123">
        <f>Table1123[[#This Row],[M (KN.mm)]]/(Table1123[[#This Row],[b (mm)]]*Table1123[[#This Row],[h (mm)]]*Table1123[[#This Row],[L(mm)]])</f>
        <v>4.1484335960124914E-4</v>
      </c>
      <c r="P17" s="123">
        <f>Table1123[[#This Row],[M (KN.mm)]]/(Table1123[[#This Row],[b (mm)]]*Table1123[[#This Row],[d (mm)]]*Table1123[[#This Row],[L(mm)]])</f>
        <v>4.7410669668714191E-4</v>
      </c>
      <c r="Q17" s="123">
        <f>Table1123[[#This Row],[M (KN.mm)]]/(Table1123[[#This Row],[b (mm)]]*Table1123[[#This Row],[h (mm)]]*Table1123[[#This Row],[L(mm)]]*Table1123[[#This Row],[fc (Mpa)]])</f>
        <v>1.2803807395100284E-5</v>
      </c>
      <c r="R17" s="123">
        <f>Table1123[[#This Row],[M (KN.mm)]]/(Table1123[[#This Row],[b (mm)]]*Table1123[[#This Row],[h (mm)]]*Table1123[[#This Row],[L(mm)]]/2)</f>
        <v>8.2968671920249828E-4</v>
      </c>
      <c r="S17" s="123">
        <f>Table1123[[#This Row],[M (KN.mm)]]/(Table1123[[#This Row],[a (mm)]]*Table1123[[#This Row],[b (mm)]]*Table1123[[#This Row],[h (mm)]]*Table1123[[#This Row],[L(mm)]]/2)</f>
        <v>5.4441385774442147E-7</v>
      </c>
      <c r="T17" s="123">
        <f>G17/(Table1123[pho (%)]*$AK$5*AH17*0.001)</f>
        <v>2.3367486549107096E-6</v>
      </c>
      <c r="U17" s="123">
        <f>Table1123[[#This Row],[M (KN.mm)]]/(Table1123[[#This Row],[b (mm)]]*Table1123[[#This Row],[d (mm)]]*Table1123[[#This Row],[pho (%)]])</f>
        <v>3.4032615488281364</v>
      </c>
      <c r="V17" s="123">
        <f>E17*224.8/(2*SQRT(Table1123[[#This Row],[fc (Mpa)]]*145.037)*Table1123[[#This Row],[b (mm)]]*Table1123[[#This Row],[d (mm)]]*(1/25.4)^2)</f>
        <v>1.6299762859328422</v>
      </c>
      <c r="W17" s="123">
        <f>Table1123[[#This Row],[M (KN.mm)]]/$G$17</f>
        <v>1</v>
      </c>
      <c r="X17" s="123">
        <f t="shared" si="5"/>
        <v>1.6299762859328422</v>
      </c>
      <c r="Y17" s="123">
        <f t="shared" si="6"/>
        <v>1524</v>
      </c>
      <c r="Z17" s="123">
        <f t="shared" si="7"/>
        <v>666.75</v>
      </c>
      <c r="AA17" s="123">
        <f>30*25.4</f>
        <v>762</v>
      </c>
      <c r="AB17" s="103">
        <f t="shared" si="4"/>
        <v>571.5</v>
      </c>
      <c r="AC17" s="103">
        <v>32.4</v>
      </c>
      <c r="AD17" s="123">
        <f>Table1123[[#This Row],[pho (%)]]/100*Table1123[[#This Row],[b (mm)]]*Table1123[[#This Row],[h (mm)]]</f>
        <v>3004.8326999999999</v>
      </c>
      <c r="AE17" s="125">
        <v>0.69</v>
      </c>
      <c r="AF17" s="123">
        <v>475.7</v>
      </c>
      <c r="AG17" s="123">
        <f>(1/3-0.21*(MIN(Table1123[[#This Row],[b (mm)]],AA17)/MAX(Table1123[[#This Row],[b (mm)]],AA17))*(MIN(Table1123[[#This Row],[b (mm)]],AA17)^4/(12*MAX(Table1123[[#This Row],[b (mm)]],AA17)^4)))*MAX(Table1123[[#This Row],[b (mm)]],AA17)*MIN(Table1123[[#This Row],[b (mm)]],AA17)^3</f>
        <v>46820686568.646629</v>
      </c>
      <c r="AH17" s="123">
        <f>Table1123[[#This Row],[b (mm)]]*AA17^3/12</f>
        <v>21071715921</v>
      </c>
      <c r="AI17" s="123">
        <f t="shared" si="10"/>
        <v>4953</v>
      </c>
      <c r="AJ17" s="106"/>
      <c r="AK17" s="107"/>
    </row>
    <row r="18" spans="1:39" s="129" customFormat="1" x14ac:dyDescent="0.25">
      <c r="A18" s="130" t="s">
        <v>69</v>
      </c>
      <c r="B18" s="110" t="s">
        <v>60</v>
      </c>
      <c r="C18" s="110">
        <v>17</v>
      </c>
      <c r="D18" s="123">
        <f>Table1123[[#This Row],[a (mm)]]/Table1123[[#This Row],[d (mm)]]</f>
        <v>2.2857142857142856</v>
      </c>
      <c r="E18" s="110">
        <v>70.723200000000006</v>
      </c>
      <c r="F18" s="124">
        <f>Table1123[[#This Row],[d (mm)]]</f>
        <v>266.7</v>
      </c>
      <c r="G18" s="110">
        <f t="shared" si="0"/>
        <v>43112.862719999997</v>
      </c>
      <c r="H18" s="110">
        <f t="shared" si="1"/>
        <v>3.0346199683978935E-6</v>
      </c>
      <c r="I18" s="110">
        <f>G18/(Table1123[[#This Row],[b (mm)]]*Z18^2)</f>
        <v>2.6514570942974087E-3</v>
      </c>
      <c r="J18" s="110">
        <f t="shared" si="2"/>
        <v>0.41149421475691655</v>
      </c>
      <c r="K18" s="110">
        <f t="shared" si="3"/>
        <v>1.8791199861858911E-6</v>
      </c>
      <c r="L18" s="110">
        <f>E18/(Table1123[[#This Row],[b (mm)]]*Z18)</f>
        <v>1.1600124787551165E-3</v>
      </c>
      <c r="M18" s="110">
        <f>Table1123[[#This Row],[M (KN.mm)]]/(Table1123[[#This Row],[b (mm)]]*Table1123[[#This Row],[d (mm)]])</f>
        <v>0.70714360704911883</v>
      </c>
      <c r="N18" s="110">
        <f>Table1123[[#This Row],[M (KN.mm)]]/(Table1123[[#This Row],[b (mm)]]*Table1123[[#This Row],[h (mm)]])</f>
        <v>0.61875065616797909</v>
      </c>
      <c r="O18" s="110">
        <f>Table1123[[#This Row],[M (KN.mm)]]/(Table1123[[#This Row],[b (mm)]]*Table1123[[#This Row],[h (mm)]]*Table1123[[#This Row],[L(mm)]])</f>
        <v>3.1181135428937529E-4</v>
      </c>
      <c r="P18" s="110">
        <f>Table1123[[#This Row],[M (KN.mm)]]/(Table1123[[#This Row],[b (mm)]]*Table1123[[#This Row],[d (mm)]]*Table1123[[#This Row],[L(mm)]])</f>
        <v>3.5635583347357172E-4</v>
      </c>
      <c r="Q18" s="110">
        <f>Table1123[[#This Row],[M (KN.mm)]]/(Table1123[[#This Row],[b (mm)]]*Table1123[[#This Row],[h (mm)]]*Table1123[[#This Row],[L(mm)]]*Table1123[[#This Row],[fc (Mpa)]])</f>
        <v>1.2562907102714556E-5</v>
      </c>
      <c r="R18" s="110">
        <f>Table1123[[#This Row],[M (KN.mm)]]/(Table1123[[#This Row],[b (mm)]]*Table1123[[#This Row],[h (mm)]]*Table1123[[#This Row],[L(mm)]]/2)</f>
        <v>6.2362270857875058E-4</v>
      </c>
      <c r="S18" s="110">
        <f>Table1123[[#This Row],[M (KN.mm)]]/(Table1123[[#This Row],[a (mm)]]*Table1123[[#This Row],[b (mm)]]*Table1123[[#This Row],[h (mm)]]*Table1123[[#This Row],[L(mm)]]/2)</f>
        <v>1.0230031308706541E-6</v>
      </c>
      <c r="T18" s="123">
        <f>G18/(Table1123[pho (%)]*$AK$5*AH18*0.001)</f>
        <v>3.5701411392916391E-6</v>
      </c>
      <c r="U18" s="110">
        <f>Table1123[[#This Row],[M (KN.mm)]]/(Table1123[[#This Row],[b (mm)]]*Table1123[[#This Row],[d (mm)]]*Table1123[[#This Row],[pho (%)]])</f>
        <v>0.83193365535190467</v>
      </c>
      <c r="V18" s="110">
        <f>E18*224.8/(2*SQRT(Table1123[[#This Row],[fc (Mpa)]]*145.037)*Table1123[[#This Row],[b (mm)]]*Table1123[[#This Row],[d (mm)]]*(1/25.4)^2)</f>
        <v>1.4020261468316235</v>
      </c>
      <c r="W18" s="110">
        <f>Table1123[[#This Row],[M (KN.mm)]]/$G$24</f>
        <v>0.46764705882352942</v>
      </c>
      <c r="X18" s="123">
        <f t="shared" si="5"/>
        <v>1.4020261468316235</v>
      </c>
      <c r="Y18" s="110">
        <f>24*25.4</f>
        <v>609.59999999999991</v>
      </c>
      <c r="Z18" s="110">
        <f>10.5*25.4</f>
        <v>266.7</v>
      </c>
      <c r="AA18" s="110">
        <f>12*25.4</f>
        <v>304.79999999999995</v>
      </c>
      <c r="AB18" s="110">
        <f>9*25.4</f>
        <v>228.6</v>
      </c>
      <c r="AC18" s="7">
        <v>24.82</v>
      </c>
      <c r="AD18" s="110">
        <f>Table1123[[#This Row],[pho (%)]]/100*Table1123[[#This Row],[b (mm)]]*Table1123[[#This Row],[h (mm)]]</f>
        <v>592.25687999999991</v>
      </c>
      <c r="AE18" s="111">
        <v>0.85</v>
      </c>
      <c r="AF18" s="110">
        <v>663.3</v>
      </c>
      <c r="AG18" s="110">
        <f>(1/3-0.21*(MIN(Table1123[[#This Row],[b (mm)]],AA18)/MAX(Table1123[[#This Row],[b (mm)]],AA18))*(MIN(Table1123[[#This Row],[b (mm)]],AA18)^4/(12*MAX(Table1123[[#This Row],[b (mm)]],AA18)^4)))*MAX(Table1123[[#This Row],[b (mm)]],AA18)*MIN(Table1123[[#This Row],[b (mm)]],AA18)^3</f>
        <v>1198609576.1573534</v>
      </c>
      <c r="AH18" s="110">
        <f>Table1123[[#This Row],[b (mm)]]*AA18^3/12</f>
        <v>539435927.57759976</v>
      </c>
      <c r="AI18" s="110">
        <f>78.125*25.4</f>
        <v>1984.375</v>
      </c>
      <c r="AJ18" s="106"/>
      <c r="AK18" s="128"/>
      <c r="AL18" s="106"/>
      <c r="AM18"/>
    </row>
    <row r="19" spans="1:39" s="129" customFormat="1" x14ac:dyDescent="0.25">
      <c r="A19" s="130" t="s">
        <v>69</v>
      </c>
      <c r="B19" s="110" t="s">
        <v>61</v>
      </c>
      <c r="C19" s="110">
        <v>18</v>
      </c>
      <c r="D19" s="123">
        <f>Table1123[[#This Row],[a (mm)]]/Table1123[[#This Row],[d (mm)]]</f>
        <v>2.2857142857142856</v>
      </c>
      <c r="E19" s="110">
        <v>83.177599999999998</v>
      </c>
      <c r="F19" s="124">
        <f>Table1123[[#This Row],[d (mm)]]</f>
        <v>266.7</v>
      </c>
      <c r="G19" s="110">
        <f t="shared" si="0"/>
        <v>50705.064959999989</v>
      </c>
      <c r="H19" s="110">
        <f t="shared" si="1"/>
        <v>3.5690184533987801E-6</v>
      </c>
      <c r="I19" s="110">
        <f>G19/(Table1123[[#This Row],[b (mm)]]*Z19^2)</f>
        <v>3.1183803561862598E-3</v>
      </c>
      <c r="J19" s="110">
        <f t="shared" si="2"/>
        <v>0.48395860477700237</v>
      </c>
      <c r="K19" s="110">
        <f t="shared" si="3"/>
        <v>2.2100341975896957E-6</v>
      </c>
      <c r="L19" s="110">
        <f>E19/(Table1123[[#This Row],[b (mm)]]*Z19)</f>
        <v>1.364291405831489E-3</v>
      </c>
      <c r="M19" s="110">
        <f>Table1123[[#This Row],[M (KN.mm)]]/(Table1123[[#This Row],[b (mm)]]*Table1123[[#This Row],[d (mm)]])</f>
        <v>0.83167204099487557</v>
      </c>
      <c r="N19" s="110">
        <f>Table1123[[#This Row],[M (KN.mm)]]/(Table1123[[#This Row],[b (mm)]]*Table1123[[#This Row],[h (mm)]])</f>
        <v>0.72771303587051617</v>
      </c>
      <c r="O19" s="110">
        <f>Table1123[[#This Row],[M (KN.mm)]]/(Table1123[[#This Row],[b (mm)]]*Table1123[[#This Row],[h (mm)]]*Table1123[[#This Row],[L(mm)]])</f>
        <v>3.6672152988750424E-4</v>
      </c>
      <c r="P19" s="110">
        <f>Table1123[[#This Row],[M (KN.mm)]]/(Table1123[[#This Row],[b (mm)]]*Table1123[[#This Row],[d (mm)]]*Table1123[[#This Row],[L(mm)]])</f>
        <v>4.1911031987143337E-4</v>
      </c>
      <c r="Q19" s="110">
        <f>Table1123[[#This Row],[M (KN.mm)]]/(Table1123[[#This Row],[b (mm)]]*Table1123[[#This Row],[h (mm)]]*Table1123[[#This Row],[L(mm)]]*Table1123[[#This Row],[fc (Mpa)]])</f>
        <v>1.4775242944702023E-5</v>
      </c>
      <c r="R19" s="110">
        <f>Table1123[[#This Row],[M (KN.mm)]]/(Table1123[[#This Row],[b (mm)]]*Table1123[[#This Row],[h (mm)]]*Table1123[[#This Row],[L(mm)]]/2)</f>
        <v>7.3344305977500847E-4</v>
      </c>
      <c r="S19" s="110">
        <f>Table1123[[#This Row],[M (KN.mm)]]/(Table1123[[#This Row],[a (mm)]]*Table1123[[#This Row],[b (mm)]]*Table1123[[#This Row],[h (mm)]]*Table1123[[#This Row],[L(mm)]]/2)</f>
        <v>1.2031546256151715E-6</v>
      </c>
      <c r="T19" s="123">
        <f>G19/(Table1123[pho (%)]*$AK$5*AH19*0.001)</f>
        <v>4.1988452392926819E-6</v>
      </c>
      <c r="U19" s="110">
        <f>Table1123[[#This Row],[M (KN.mm)]]/(Table1123[[#This Row],[b (mm)]]*Table1123[[#This Row],[d (mm)]]*Table1123[[#This Row],[pho (%)]])</f>
        <v>0.97843769528808888</v>
      </c>
      <c r="V19" s="110">
        <f>E19*224.8/(2*SQRT(Table1123[[#This Row],[fc (Mpa)]]*145.037)*Table1123[[#This Row],[b (mm)]]*Table1123[[#This Row],[d (mm)]]*(1/25.4)^2)</f>
        <v>1.6489238330661229</v>
      </c>
      <c r="W19" s="110">
        <f>Table1123[[#This Row],[M (KN.mm)]]/$G$24</f>
        <v>0.54999999999999993</v>
      </c>
      <c r="X19" s="123">
        <f t="shared" si="5"/>
        <v>1.6489238330661229</v>
      </c>
      <c r="Y19" s="110">
        <f t="shared" ref="Y19:Y53" si="11">24*25.4</f>
        <v>609.59999999999991</v>
      </c>
      <c r="Z19" s="110">
        <f t="shared" ref="Z19:Z53" si="12">10.5*25.4</f>
        <v>266.7</v>
      </c>
      <c r="AA19" s="110">
        <f t="shared" ref="AA19:AA53" si="13">12*25.4</f>
        <v>304.79999999999995</v>
      </c>
      <c r="AB19" s="110">
        <f t="shared" ref="AB19:AB53" si="14">9*25.4</f>
        <v>228.6</v>
      </c>
      <c r="AC19" s="7">
        <v>24.82</v>
      </c>
      <c r="AD19" s="110">
        <f>Table1123[[#This Row],[pho (%)]]/100*Table1123[[#This Row],[b (mm)]]*Table1123[[#This Row],[h (mm)]]</f>
        <v>592.25687999999991</v>
      </c>
      <c r="AE19" s="111">
        <v>0.85</v>
      </c>
      <c r="AF19" s="110">
        <v>663.3</v>
      </c>
      <c r="AG19" s="110">
        <f>(1/3-0.21*(MIN(Table1123[[#This Row],[b (mm)]],AA19)/MAX(Table1123[[#This Row],[b (mm)]],AA19))*(MIN(Table1123[[#This Row],[b (mm)]],AA19)^4/(12*MAX(Table1123[[#This Row],[b (mm)]],AA19)^4)))*MAX(Table1123[[#This Row],[b (mm)]],AA19)*MIN(Table1123[[#This Row],[b (mm)]],AA19)^3</f>
        <v>1198609576.1573534</v>
      </c>
      <c r="AH19" s="110">
        <f>Table1123[[#This Row],[b (mm)]]*AA19^3/12</f>
        <v>539435927.57759976</v>
      </c>
      <c r="AI19" s="110">
        <f t="shared" ref="AI19:AI53" si="15">78.125*25.4</f>
        <v>1984.375</v>
      </c>
      <c r="AJ19" s="106"/>
      <c r="AK19" s="128"/>
      <c r="AL19" s="106"/>
      <c r="AM19"/>
    </row>
    <row r="20" spans="1:39" s="129" customFormat="1" x14ac:dyDescent="0.25">
      <c r="A20" s="130" t="s">
        <v>69</v>
      </c>
      <c r="B20" s="110" t="s">
        <v>62</v>
      </c>
      <c r="C20" s="110">
        <v>19</v>
      </c>
      <c r="D20" s="123">
        <f>Table1123[[#This Row],[a (mm)]]/Table1123[[#This Row],[d (mm)]]</f>
        <v>2.2857142857142856</v>
      </c>
      <c r="E20" s="110">
        <v>95.187200000000004</v>
      </c>
      <c r="F20" s="124">
        <f>Table1123[[#This Row],[d (mm)]]</f>
        <v>266.7</v>
      </c>
      <c r="G20" s="110">
        <f t="shared" si="0"/>
        <v>58026.117119999995</v>
      </c>
      <c r="H20" s="110">
        <f t="shared" si="1"/>
        <v>4.0843312782210639E-6</v>
      </c>
      <c r="I20" s="110">
        <f>G20/(Table1123[[#This Row],[b (mm)]]*Z20^2)</f>
        <v>3.5686277872933676E-3</v>
      </c>
      <c r="J20" s="110">
        <f t="shared" si="2"/>
        <v>0.55383498086779959</v>
      </c>
      <c r="K20" s="110">
        <f t="shared" si="3"/>
        <v>2.5291300443005076E-6</v>
      </c>
      <c r="L20" s="110">
        <f>E20/(Table1123[[#This Row],[b (mm)]]*Z20)</f>
        <v>1.5612746569408484E-3</v>
      </c>
      <c r="M20" s="110">
        <f>Table1123[[#This Row],[M (KN.mm)]]/(Table1123[[#This Row],[b (mm)]]*Table1123[[#This Row],[d (mm)]])</f>
        <v>0.95175303087114116</v>
      </c>
      <c r="N20" s="110">
        <f>Table1123[[#This Row],[M (KN.mm)]]/(Table1123[[#This Row],[b (mm)]]*Table1123[[#This Row],[h (mm)]])</f>
        <v>0.83278390201224861</v>
      </c>
      <c r="O20" s="110">
        <f>Table1123[[#This Row],[M (KN.mm)]]/(Table1123[[#This Row],[b (mm)]]*Table1123[[#This Row],[h (mm)]]*Table1123[[#This Row],[L(mm)]])</f>
        <v>4.1967062778570008E-4</v>
      </c>
      <c r="P20" s="110">
        <f>Table1123[[#This Row],[M (KN.mm)]]/(Table1123[[#This Row],[b (mm)]]*Table1123[[#This Row],[d (mm)]]*Table1123[[#This Row],[L(mm)]])</f>
        <v>4.7962357461222861E-4</v>
      </c>
      <c r="Q20" s="110">
        <f>Table1123[[#This Row],[M (KN.mm)]]/(Table1123[[#This Row],[b (mm)]]*Table1123[[#This Row],[h (mm)]]*Table1123[[#This Row],[L(mm)]]*Table1123[[#This Row],[fc (Mpa)]])</f>
        <v>1.6908566792332799E-5</v>
      </c>
      <c r="R20" s="110">
        <f>Table1123[[#This Row],[M (KN.mm)]]/(Table1123[[#This Row],[b (mm)]]*Table1123[[#This Row],[h (mm)]]*Table1123[[#This Row],[L(mm)]]/2)</f>
        <v>8.3934125557140016E-4</v>
      </c>
      <c r="S20" s="110">
        <f>Table1123[[#This Row],[M (KN.mm)]]/(Table1123[[#This Row],[a (mm)]]*Table1123[[#This Row],[b (mm)]]*Table1123[[#This Row],[h (mm)]]*Table1123[[#This Row],[L(mm)]]/2)</f>
        <v>1.3768721384045279E-6</v>
      </c>
      <c r="T20" s="123">
        <f>G20/(Table1123[pho (%)]*$AK$5*AH20*0.001)</f>
        <v>4.8050956214365456E-6</v>
      </c>
      <c r="U20" s="110">
        <f>Table1123[[#This Row],[M (KN.mm)]]/(Table1123[[#This Row],[b (mm)]]*Table1123[[#This Row],[d (mm)]]*Table1123[[#This Row],[pho (%)]])</f>
        <v>1.1197094480836955</v>
      </c>
      <c r="V20" s="110">
        <f>E20*224.8/(2*SQRT(Table1123[[#This Row],[fc (Mpa)]]*145.037)*Table1123[[#This Row],[b (mm)]]*Table1123[[#This Row],[d (mm)]]*(1/25.4)^2)</f>
        <v>1.8870037447922479</v>
      </c>
      <c r="W20" s="110">
        <f>Table1123[[#This Row],[M (KN.mm)]]/$G$24</f>
        <v>0.62941176470588234</v>
      </c>
      <c r="X20" s="123">
        <f t="shared" si="5"/>
        <v>1.8870037447922479</v>
      </c>
      <c r="Y20" s="110">
        <f t="shared" si="11"/>
        <v>609.59999999999991</v>
      </c>
      <c r="Z20" s="110">
        <f t="shared" si="12"/>
        <v>266.7</v>
      </c>
      <c r="AA20" s="110">
        <f t="shared" si="13"/>
        <v>304.79999999999995</v>
      </c>
      <c r="AB20" s="110">
        <f t="shared" si="14"/>
        <v>228.6</v>
      </c>
      <c r="AC20" s="7">
        <v>24.82</v>
      </c>
      <c r="AD20" s="110">
        <f>Table1123[[#This Row],[pho (%)]]/100*Table1123[[#This Row],[b (mm)]]*Table1123[[#This Row],[h (mm)]]</f>
        <v>592.25687999999991</v>
      </c>
      <c r="AE20" s="111">
        <v>0.85</v>
      </c>
      <c r="AF20" s="110">
        <v>663.3</v>
      </c>
      <c r="AG20" s="110">
        <f>(1/3-0.21*(MIN(Table1123[[#This Row],[b (mm)]],AA20)/MAX(Table1123[[#This Row],[b (mm)]],AA20))*(MIN(Table1123[[#This Row],[b (mm)]],AA20)^4/(12*MAX(Table1123[[#This Row],[b (mm)]],AA20)^4)))*MAX(Table1123[[#This Row],[b (mm)]],AA20)*MIN(Table1123[[#This Row],[b (mm)]],AA20)^3</f>
        <v>1198609576.1573534</v>
      </c>
      <c r="AH20" s="110">
        <f>Table1123[[#This Row],[b (mm)]]*AA20^3/12</f>
        <v>539435927.57759976</v>
      </c>
      <c r="AI20" s="110">
        <f t="shared" si="15"/>
        <v>1984.375</v>
      </c>
      <c r="AJ20" s="106"/>
      <c r="AK20" s="128"/>
      <c r="AL20" s="106"/>
      <c r="AM20"/>
    </row>
    <row r="21" spans="1:39" s="129" customFormat="1" x14ac:dyDescent="0.25">
      <c r="A21" s="130" t="s">
        <v>69</v>
      </c>
      <c r="B21" s="110" t="s">
        <v>63</v>
      </c>
      <c r="C21" s="110">
        <v>20</v>
      </c>
      <c r="D21" s="123">
        <f>Table1123[[#This Row],[a (mm)]]/Table1123[[#This Row],[d (mm)]]</f>
        <v>2.2857142857142856</v>
      </c>
      <c r="E21" s="110">
        <v>107.64160000000001</v>
      </c>
      <c r="F21" s="124">
        <f>Table1123[[#This Row],[d (mm)]]</f>
        <v>266.7</v>
      </c>
      <c r="G21" s="110">
        <f t="shared" si="0"/>
        <v>65618.319359999994</v>
      </c>
      <c r="H21" s="110">
        <f t="shared" si="1"/>
        <v>4.6187297632219514E-6</v>
      </c>
      <c r="I21" s="110">
        <f>G21/(Table1123[[#This Row],[b (mm)]]*Z21^2)</f>
        <v>4.0355510491822191E-3</v>
      </c>
      <c r="J21" s="110">
        <f t="shared" si="2"/>
        <v>0.62629937088788556</v>
      </c>
      <c r="K21" s="110">
        <f t="shared" si="3"/>
        <v>2.8600442557043124E-6</v>
      </c>
      <c r="L21" s="110">
        <f>E21/(Table1123[[#This Row],[b (mm)]]*Z21)</f>
        <v>1.7655535840172213E-3</v>
      </c>
      <c r="M21" s="110">
        <f>Table1123[[#This Row],[M (KN.mm)]]/(Table1123[[#This Row],[b (mm)]]*Table1123[[#This Row],[d (mm)]])</f>
        <v>1.0762814648168979</v>
      </c>
      <c r="N21" s="110">
        <f>Table1123[[#This Row],[M (KN.mm)]]/(Table1123[[#This Row],[b (mm)]]*Table1123[[#This Row],[h (mm)]])</f>
        <v>0.9417462817147858</v>
      </c>
      <c r="O21" s="110">
        <f>Table1123[[#This Row],[M (KN.mm)]]/(Table1123[[#This Row],[b (mm)]]*Table1123[[#This Row],[h (mm)]]*Table1123[[#This Row],[L(mm)]])</f>
        <v>4.7458080338382903E-4</v>
      </c>
      <c r="P21" s="110">
        <f>Table1123[[#This Row],[M (KN.mm)]]/(Table1123[[#This Row],[b (mm)]]*Table1123[[#This Row],[d (mm)]]*Table1123[[#This Row],[L(mm)]])</f>
        <v>5.4237806101009025E-4</v>
      </c>
      <c r="Q21" s="110">
        <f>Table1123[[#This Row],[M (KN.mm)]]/(Table1123[[#This Row],[b (mm)]]*Table1123[[#This Row],[h (mm)]]*Table1123[[#This Row],[L(mm)]]*Table1123[[#This Row],[fc (Mpa)]])</f>
        <v>1.9120902634320268E-5</v>
      </c>
      <c r="R21" s="110">
        <f>Table1123[[#This Row],[M (KN.mm)]]/(Table1123[[#This Row],[b (mm)]]*Table1123[[#This Row],[h (mm)]]*Table1123[[#This Row],[L(mm)]]/2)</f>
        <v>9.4916160676765805E-4</v>
      </c>
      <c r="S21" s="110">
        <f>Table1123[[#This Row],[M (KN.mm)]]/(Table1123[[#This Row],[a (mm)]]*Table1123[[#This Row],[b (mm)]]*Table1123[[#This Row],[h (mm)]]*Table1123[[#This Row],[L(mm)]]/2)</f>
        <v>1.5570236331490458E-6</v>
      </c>
      <c r="T21" s="123">
        <f>G21/(Table1123[pho (%)]*$AK$5*AH21*0.001)</f>
        <v>5.4337997214375888E-6</v>
      </c>
      <c r="U21" s="110">
        <f>Table1123[[#This Row],[M (KN.mm)]]/(Table1123[[#This Row],[b (mm)]]*Table1123[[#This Row],[d (mm)]]*Table1123[[#This Row],[pho (%)]])</f>
        <v>1.2662134880198799</v>
      </c>
      <c r="V21" s="110">
        <f>E21*224.8/(2*SQRT(Table1123[[#This Row],[fc (Mpa)]]*145.037)*Table1123[[#This Row],[b (mm)]]*Table1123[[#This Row],[d (mm)]]*(1/25.4)^2)</f>
        <v>2.1339014310267475</v>
      </c>
      <c r="W21" s="110">
        <f>Table1123[[#This Row],[M (KN.mm)]]/$G$24</f>
        <v>0.71176470588235285</v>
      </c>
      <c r="X21" s="123">
        <f t="shared" si="5"/>
        <v>2.1339014310267475</v>
      </c>
      <c r="Y21" s="110">
        <f t="shared" si="11"/>
        <v>609.59999999999991</v>
      </c>
      <c r="Z21" s="110">
        <f t="shared" si="12"/>
        <v>266.7</v>
      </c>
      <c r="AA21" s="110">
        <f t="shared" si="13"/>
        <v>304.79999999999995</v>
      </c>
      <c r="AB21" s="110">
        <f t="shared" si="14"/>
        <v>228.6</v>
      </c>
      <c r="AC21" s="7">
        <v>24.82</v>
      </c>
      <c r="AD21" s="110">
        <f>Table1123[[#This Row],[pho (%)]]/100*Table1123[[#This Row],[b (mm)]]*Table1123[[#This Row],[h (mm)]]</f>
        <v>592.25687999999991</v>
      </c>
      <c r="AE21" s="111">
        <v>0.85</v>
      </c>
      <c r="AF21" s="110">
        <v>663.3</v>
      </c>
      <c r="AG21" s="110">
        <f>(1/3-0.21*(MIN(Table1123[[#This Row],[b (mm)]],AA21)/MAX(Table1123[[#This Row],[b (mm)]],AA21))*(MIN(Table1123[[#This Row],[b (mm)]],AA21)^4/(12*MAX(Table1123[[#This Row],[b (mm)]],AA21)^4)))*MAX(Table1123[[#This Row],[b (mm)]],AA21)*MIN(Table1123[[#This Row],[b (mm)]],AA21)^3</f>
        <v>1198609576.1573534</v>
      </c>
      <c r="AH21" s="110">
        <f>Table1123[[#This Row],[b (mm)]]*AA21^3/12</f>
        <v>539435927.57759976</v>
      </c>
      <c r="AI21" s="110">
        <f t="shared" si="15"/>
        <v>1984.375</v>
      </c>
      <c r="AJ21" s="106"/>
      <c r="AK21" s="128"/>
      <c r="AL21" s="106"/>
      <c r="AM21"/>
    </row>
    <row r="22" spans="1:39" s="129" customFormat="1" x14ac:dyDescent="0.25">
      <c r="A22" s="130" t="s">
        <v>69</v>
      </c>
      <c r="B22" s="110" t="s">
        <v>64</v>
      </c>
      <c r="C22" s="110">
        <v>21</v>
      </c>
      <c r="D22" s="123">
        <f>Table1123[[#This Row],[a (mm)]]/Table1123[[#This Row],[d (mm)]]</f>
        <v>2.2857142857142856</v>
      </c>
      <c r="E22" s="110">
        <v>120.096</v>
      </c>
      <c r="F22" s="124">
        <f>Table1123[[#This Row],[d (mm)]]</f>
        <v>266.7</v>
      </c>
      <c r="G22" s="110">
        <f t="shared" si="0"/>
        <v>73210.521599999993</v>
      </c>
      <c r="H22" s="110">
        <f t="shared" si="1"/>
        <v>5.1531282482228381E-6</v>
      </c>
      <c r="I22" s="110">
        <f>G22/(Table1123[[#This Row],[b (mm)]]*Z22^2)</f>
        <v>4.502474311071071E-3</v>
      </c>
      <c r="J22" s="110">
        <f t="shared" si="2"/>
        <v>0.69876376090797143</v>
      </c>
      <c r="K22" s="110">
        <f t="shared" si="3"/>
        <v>3.1909584671081168E-6</v>
      </c>
      <c r="L22" s="110">
        <f>E22/(Table1123[[#This Row],[b (mm)]]*Z22)</f>
        <v>1.969832511093594E-3</v>
      </c>
      <c r="M22" s="110">
        <f>Table1123[[#This Row],[M (KN.mm)]]/(Table1123[[#This Row],[b (mm)]]*Table1123[[#This Row],[d (mm)]])</f>
        <v>1.2008098987626545</v>
      </c>
      <c r="N22" s="110">
        <f>Table1123[[#This Row],[M (KN.mm)]]/(Table1123[[#This Row],[b (mm)]]*Table1123[[#This Row],[h (mm)]])</f>
        <v>1.0507086614173229</v>
      </c>
      <c r="O22" s="110">
        <f>Table1123[[#This Row],[M (KN.mm)]]/(Table1123[[#This Row],[b (mm)]]*Table1123[[#This Row],[h (mm)]]*Table1123[[#This Row],[L(mm)]])</f>
        <v>5.2949097898195797E-4</v>
      </c>
      <c r="P22" s="110">
        <f>Table1123[[#This Row],[M (KN.mm)]]/(Table1123[[#This Row],[b (mm)]]*Table1123[[#This Row],[d (mm)]]*Table1123[[#This Row],[L(mm)]])</f>
        <v>6.0513254740795195E-4</v>
      </c>
      <c r="Q22" s="110">
        <f>Table1123[[#This Row],[M (KN.mm)]]/(Table1123[[#This Row],[b (mm)]]*Table1123[[#This Row],[h (mm)]]*Table1123[[#This Row],[L(mm)]]*Table1123[[#This Row],[fc (Mpa)]])</f>
        <v>2.1333238476307736E-5</v>
      </c>
      <c r="R22" s="110">
        <f>Table1123[[#This Row],[M (KN.mm)]]/(Table1123[[#This Row],[b (mm)]]*Table1123[[#This Row],[h (mm)]]*Table1123[[#This Row],[L(mm)]]/2)</f>
        <v>1.0589819579639159E-3</v>
      </c>
      <c r="S22" s="110">
        <f>Table1123[[#This Row],[M (KN.mm)]]/(Table1123[[#This Row],[a (mm)]]*Table1123[[#This Row],[b (mm)]]*Table1123[[#This Row],[h (mm)]]*Table1123[[#This Row],[L(mm)]]/2)</f>
        <v>1.7371751278935634E-6</v>
      </c>
      <c r="T22" s="123">
        <f>G22/(Table1123[pho (%)]*$AK$5*AH22*0.001)</f>
        <v>6.062503821438632E-6</v>
      </c>
      <c r="U22" s="110">
        <f>Table1123[[#This Row],[M (KN.mm)]]/(Table1123[[#This Row],[b (mm)]]*Table1123[[#This Row],[d (mm)]]*Table1123[[#This Row],[pho (%)]])</f>
        <v>1.4127175279560644</v>
      </c>
      <c r="V22" s="110">
        <f>E22*224.8/(2*SQRT(Table1123[[#This Row],[fc (Mpa)]]*145.037)*Table1123[[#This Row],[b (mm)]]*Table1123[[#This Row],[d (mm)]]*(1/25.4)^2)</f>
        <v>2.3807991172612475</v>
      </c>
      <c r="W22" s="110">
        <f>Table1123[[#This Row],[M (KN.mm)]]/$G$24</f>
        <v>0.79411764705882348</v>
      </c>
      <c r="X22" s="123">
        <f t="shared" si="5"/>
        <v>2.3807991172612475</v>
      </c>
      <c r="Y22" s="110">
        <f t="shared" si="11"/>
        <v>609.59999999999991</v>
      </c>
      <c r="Z22" s="110">
        <f t="shared" si="12"/>
        <v>266.7</v>
      </c>
      <c r="AA22" s="110">
        <f t="shared" si="13"/>
        <v>304.79999999999995</v>
      </c>
      <c r="AB22" s="110">
        <f t="shared" si="14"/>
        <v>228.6</v>
      </c>
      <c r="AC22" s="7">
        <v>24.82</v>
      </c>
      <c r="AD22" s="110">
        <f>Table1123[[#This Row],[pho (%)]]/100*Table1123[[#This Row],[b (mm)]]*Table1123[[#This Row],[h (mm)]]</f>
        <v>592.25687999999991</v>
      </c>
      <c r="AE22" s="111">
        <v>0.85</v>
      </c>
      <c r="AF22" s="110">
        <v>663.3</v>
      </c>
      <c r="AG22" s="110">
        <f>(1/3-0.21*(MIN(Table1123[[#This Row],[b (mm)]],AA22)/MAX(Table1123[[#This Row],[b (mm)]],AA22))*(MIN(Table1123[[#This Row],[b (mm)]],AA22)^4/(12*MAX(Table1123[[#This Row],[b (mm)]],AA22)^4)))*MAX(Table1123[[#This Row],[b (mm)]],AA22)*MIN(Table1123[[#This Row],[b (mm)]],AA22)^3</f>
        <v>1198609576.1573534</v>
      </c>
      <c r="AH22" s="110">
        <f>Table1123[[#This Row],[b (mm)]]*AA22^3/12</f>
        <v>539435927.57759976</v>
      </c>
      <c r="AI22" s="110">
        <f t="shared" si="15"/>
        <v>1984.375</v>
      </c>
      <c r="AJ22" s="106"/>
      <c r="AK22" s="106"/>
      <c r="AL22" s="106"/>
      <c r="AM22"/>
    </row>
    <row r="23" spans="1:39" s="129" customFormat="1" x14ac:dyDescent="0.25">
      <c r="A23" s="130" t="s">
        <v>69</v>
      </c>
      <c r="B23" s="110" t="s">
        <v>65</v>
      </c>
      <c r="C23" s="110">
        <v>22</v>
      </c>
      <c r="D23" s="123">
        <f>Table1123[[#This Row],[a (mm)]]/Table1123[[#This Row],[d (mm)]]</f>
        <v>2.2857142857142856</v>
      </c>
      <c r="E23" s="110">
        <v>141.0016</v>
      </c>
      <c r="F23" s="124">
        <f>Table1123[[#This Row],[d (mm)]]</f>
        <v>266.7</v>
      </c>
      <c r="G23" s="110">
        <f t="shared" si="0"/>
        <v>85954.575359999988</v>
      </c>
      <c r="H23" s="110">
        <f t="shared" si="1"/>
        <v>6.0501542766171836E-6</v>
      </c>
      <c r="I23" s="110">
        <f>G23/(Table1123[[#This Row],[b (mm)]]*Z23^2)</f>
        <v>5.2862383578130721E-3</v>
      </c>
      <c r="J23" s="110">
        <f t="shared" si="2"/>
        <v>0.82040041558454424</v>
      </c>
      <c r="K23" s="110">
        <f t="shared" si="3"/>
        <v>3.7464216076787889E-6</v>
      </c>
      <c r="L23" s="110">
        <f>E23/(Table1123[[#This Row],[b (mm)]]*Z23)</f>
        <v>2.3127292815432192E-3</v>
      </c>
      <c r="M23" s="110">
        <f>Table1123[[#This Row],[M (KN.mm)]]/(Table1123[[#This Row],[b (mm)]]*Table1123[[#This Row],[d (mm)]])</f>
        <v>1.4098397700287464</v>
      </c>
      <c r="N23" s="110">
        <f>Table1123[[#This Row],[M (KN.mm)]]/(Table1123[[#This Row],[b (mm)]]*Table1123[[#This Row],[h (mm)]])</f>
        <v>1.2336097987751533</v>
      </c>
      <c r="O23" s="110">
        <f>Table1123[[#This Row],[M (KN.mm)]]/(Table1123[[#This Row],[b (mm)]]*Table1123[[#This Row],[h (mm)]]*Table1123[[#This Row],[L(mm)]])</f>
        <v>6.2166163087881731E-4</v>
      </c>
      <c r="P23" s="110">
        <f>Table1123[[#This Row],[M (KN.mm)]]/(Table1123[[#This Row],[b (mm)]]*Table1123[[#This Row],[d (mm)]]*Table1123[[#This Row],[L(mm)]])</f>
        <v>7.1047043529007693E-4</v>
      </c>
      <c r="Q23" s="110">
        <f>Table1123[[#This Row],[M (KN.mm)]]/(Table1123[[#This Row],[b (mm)]]*Table1123[[#This Row],[h (mm)]]*Table1123[[#This Row],[L(mm)]]*Table1123[[#This Row],[fc (Mpa)]])</f>
        <v>2.5046802211072416E-5</v>
      </c>
      <c r="R23" s="110">
        <f>Table1123[[#This Row],[M (KN.mm)]]/(Table1123[[#This Row],[b (mm)]]*Table1123[[#This Row],[h (mm)]]*Table1123[[#This Row],[L(mm)]]/2)</f>
        <v>1.2433232617576346E-3</v>
      </c>
      <c r="S23" s="110">
        <f>Table1123[[#This Row],[M (KN.mm)]]/(Table1123[[#This Row],[a (mm)]]*Table1123[[#This Row],[b (mm)]]*Table1123[[#This Row],[h (mm)]]*Table1123[[#This Row],[L(mm)]]/2)</f>
        <v>2.0395722797861464E-6</v>
      </c>
      <c r="T23" s="123">
        <f>G23/(Table1123[pho (%)]*$AK$5*AH23*0.001)</f>
        <v>7.1178285607260971E-6</v>
      </c>
      <c r="U23" s="110">
        <f>Table1123[[#This Row],[M (KN.mm)]]/(Table1123[[#This Row],[b (mm)]]*Table1123[[#This Row],[d (mm)]]*Table1123[[#This Row],[pho (%)]])</f>
        <v>1.658635023563231</v>
      </c>
      <c r="V23" s="110">
        <f>E23*224.8/(2*SQRT(Table1123[[#This Row],[fc (Mpa)]]*145.037)*Table1123[[#This Row],[b (mm)]]*Table1123[[#This Row],[d (mm)]]*(1/25.4)^2)</f>
        <v>2.7952345191548718</v>
      </c>
      <c r="W23" s="110">
        <f>Table1123[[#This Row],[M (KN.mm)]]/$G$24</f>
        <v>0.9323529411764705</v>
      </c>
      <c r="X23" s="123">
        <f t="shared" si="5"/>
        <v>2.7952345191548718</v>
      </c>
      <c r="Y23" s="110">
        <f t="shared" si="11"/>
        <v>609.59999999999991</v>
      </c>
      <c r="Z23" s="110">
        <f t="shared" si="12"/>
        <v>266.7</v>
      </c>
      <c r="AA23" s="110">
        <f t="shared" si="13"/>
        <v>304.79999999999995</v>
      </c>
      <c r="AB23" s="110">
        <f t="shared" si="14"/>
        <v>228.6</v>
      </c>
      <c r="AC23" s="7">
        <v>24.82</v>
      </c>
      <c r="AD23" s="110">
        <f>Table1123[[#This Row],[pho (%)]]/100*Table1123[[#This Row],[b (mm)]]*Table1123[[#This Row],[h (mm)]]</f>
        <v>592.25687999999991</v>
      </c>
      <c r="AE23" s="111">
        <v>0.85</v>
      </c>
      <c r="AF23" s="110">
        <v>663.3</v>
      </c>
      <c r="AG23" s="110">
        <f>(1/3-0.21*(MIN(Table1123[[#This Row],[b (mm)]],AA23)/MAX(Table1123[[#This Row],[b (mm)]],AA23))*(MIN(Table1123[[#This Row],[b (mm)]],AA23)^4/(12*MAX(Table1123[[#This Row],[b (mm)]],AA23)^4)))*MAX(Table1123[[#This Row],[b (mm)]],AA23)*MIN(Table1123[[#This Row],[b (mm)]],AA23)^3</f>
        <v>1198609576.1573534</v>
      </c>
      <c r="AH23" s="110">
        <f>Table1123[[#This Row],[b (mm)]]*AA23^3/12</f>
        <v>539435927.57759976</v>
      </c>
      <c r="AI23" s="110">
        <f t="shared" si="15"/>
        <v>1984.375</v>
      </c>
      <c r="AJ23" s="106"/>
      <c r="AK23" s="106"/>
      <c r="AL23" s="106"/>
      <c r="AM23"/>
    </row>
    <row r="24" spans="1:39" s="129" customFormat="1" x14ac:dyDescent="0.25">
      <c r="A24" s="131" t="s">
        <v>69</v>
      </c>
      <c r="B24" s="110" t="s">
        <v>66</v>
      </c>
      <c r="C24" s="110">
        <v>23</v>
      </c>
      <c r="D24" s="123">
        <f>Table1123[[#This Row],[a (mm)]]/Table1123[[#This Row],[d (mm)]]</f>
        <v>2.2857142857142856</v>
      </c>
      <c r="E24" s="110">
        <v>151.23200000000003</v>
      </c>
      <c r="F24" s="124">
        <f>Table1123[[#This Row],[d (mm)]]</f>
        <v>266.7</v>
      </c>
      <c r="G24" s="110">
        <f t="shared" si="0"/>
        <v>92191.027199999997</v>
      </c>
      <c r="H24" s="110">
        <f t="shared" si="1"/>
        <v>6.4891244607250556E-6</v>
      </c>
      <c r="I24" s="110">
        <f>G24/(Table1123[[#This Row],[b (mm)]]*Z24^2)</f>
        <v>5.6697824657932008E-3</v>
      </c>
      <c r="J24" s="110">
        <f t="shared" si="2"/>
        <v>0.87992473595818632</v>
      </c>
      <c r="K24" s="110">
        <f t="shared" si="3"/>
        <v>4.0182439956176288E-6</v>
      </c>
      <c r="L24" s="110">
        <f>E24/(Table1123[[#This Row],[b (mm)]]*Z24)</f>
        <v>2.4805298287845258E-3</v>
      </c>
      <c r="M24" s="110">
        <f>Table1123[[#This Row],[M (KN.mm)]]/(Table1123[[#This Row],[b (mm)]]*Table1123[[#This Row],[d (mm)]])</f>
        <v>1.5121309836270467</v>
      </c>
      <c r="N24" s="110">
        <f>Table1123[[#This Row],[M (KN.mm)]]/(Table1123[[#This Row],[b (mm)]]*Table1123[[#This Row],[h (mm)]])</f>
        <v>1.323114610673666</v>
      </c>
      <c r="O24" s="110">
        <f>Table1123[[#This Row],[M (KN.mm)]]/(Table1123[[#This Row],[b (mm)]]*Table1123[[#This Row],[h (mm)]]*Table1123[[#This Row],[L(mm)]])</f>
        <v>6.6676641797728056E-4</v>
      </c>
      <c r="P24" s="110">
        <f>Table1123[[#This Row],[M (KN.mm)]]/(Table1123[[#This Row],[b (mm)]]*Table1123[[#This Row],[d (mm)]]*Table1123[[#This Row],[L(mm)]])</f>
        <v>7.6201876340260626E-4</v>
      </c>
      <c r="Q24" s="110">
        <f>Table1123[[#This Row],[M (KN.mm)]]/(Table1123[[#This Row],[b (mm)]]*Table1123[[#This Row],[h (mm)]]*Table1123[[#This Row],[L(mm)]]*Table1123[[#This Row],[fc (Mpa)]])</f>
        <v>2.6864078081276412E-5</v>
      </c>
      <c r="R24" s="110">
        <f>Table1123[[#This Row],[M (KN.mm)]]/(Table1123[[#This Row],[b (mm)]]*Table1123[[#This Row],[h (mm)]]*Table1123[[#This Row],[L(mm)]]/2)</f>
        <v>1.3335328359545611E-3</v>
      </c>
      <c r="S24" s="110">
        <f>Table1123[[#This Row],[M (KN.mm)]]/(Table1123[[#This Row],[a (mm)]]*Table1123[[#This Row],[b (mm)]]*Table1123[[#This Row],[h (mm)]]*Table1123[[#This Row],[L(mm)]]/2)</f>
        <v>2.1875538647548575E-6</v>
      </c>
      <c r="T24" s="123">
        <f>G24/(Table1123[pho (%)]*$AK$5*AH24*0.001)</f>
        <v>7.6342640714412412E-6</v>
      </c>
      <c r="U24" s="110">
        <f>Table1123[[#This Row],[M (KN.mm)]]/(Table1123[[#This Row],[b (mm)]]*Table1123[[#This Row],[d (mm)]]*Table1123[[#This Row],[pho (%)]])</f>
        <v>1.7789776277965257</v>
      </c>
      <c r="V24" s="110">
        <f>E24*224.8/(2*SQRT(Table1123[[#This Row],[fc (Mpa)]]*145.037)*Table1123[[#This Row],[b (mm)]]*Table1123[[#This Row],[d (mm)]]*(1/25.4)^2)</f>
        <v>2.9980433328474971</v>
      </c>
      <c r="W24" s="110">
        <f>Table1123[[#This Row],[M (KN.mm)]]/$G$24</f>
        <v>1</v>
      </c>
      <c r="X24" s="123">
        <f t="shared" si="5"/>
        <v>2.9980433328474971</v>
      </c>
      <c r="Y24" s="110">
        <f t="shared" si="11"/>
        <v>609.59999999999991</v>
      </c>
      <c r="Z24" s="110">
        <f t="shared" si="12"/>
        <v>266.7</v>
      </c>
      <c r="AA24" s="110">
        <f t="shared" si="13"/>
        <v>304.79999999999995</v>
      </c>
      <c r="AB24" s="110">
        <f t="shared" si="14"/>
        <v>228.6</v>
      </c>
      <c r="AC24" s="7">
        <v>24.82</v>
      </c>
      <c r="AD24" s="110">
        <f>Table1123[[#This Row],[pho (%)]]/100*Table1123[[#This Row],[b (mm)]]*Table1123[[#This Row],[h (mm)]]</f>
        <v>592.25687999999991</v>
      </c>
      <c r="AE24" s="111">
        <v>0.85</v>
      </c>
      <c r="AF24" s="110">
        <v>663.3</v>
      </c>
      <c r="AG24" s="110">
        <f>(1/3-0.21*(MIN(Table1123[[#This Row],[b (mm)]],AA24)/MAX(Table1123[[#This Row],[b (mm)]],AA24))*(MIN(Table1123[[#This Row],[b (mm)]],AA24)^4/(12*MAX(Table1123[[#This Row],[b (mm)]],AA24)^4)))*MAX(Table1123[[#This Row],[b (mm)]],AA24)*MIN(Table1123[[#This Row],[b (mm)]],AA24)^3</f>
        <v>1198609576.1573534</v>
      </c>
      <c r="AH24" s="110">
        <f>Table1123[[#This Row],[b (mm)]]*AA24^3/12</f>
        <v>539435927.57759976</v>
      </c>
      <c r="AI24" s="110">
        <f t="shared" si="15"/>
        <v>1984.375</v>
      </c>
      <c r="AJ24" s="106"/>
      <c r="AK24" s="106"/>
      <c r="AL24" s="106"/>
      <c r="AM24"/>
    </row>
    <row r="25" spans="1:39" s="129" customFormat="1" x14ac:dyDescent="0.25">
      <c r="A25" s="121" t="s">
        <v>70</v>
      </c>
      <c r="B25" s="110" t="s">
        <v>60</v>
      </c>
      <c r="C25" s="110">
        <v>24</v>
      </c>
      <c r="D25" s="123">
        <f>Table1123[[#This Row],[a (mm)]]/Table1123[[#This Row],[d (mm)]]</f>
        <v>2.2857142857142856</v>
      </c>
      <c r="E25" s="110">
        <v>92.073599999999999</v>
      </c>
      <c r="F25" s="124">
        <f>Table1123[[#This Row],[d (mm)]]</f>
        <v>266.7</v>
      </c>
      <c r="G25" s="110">
        <f t="shared" si="0"/>
        <v>56128.066559999992</v>
      </c>
      <c r="H25" s="110">
        <f t="shared" si="1"/>
        <v>3.9507316569708427E-6</v>
      </c>
      <c r="I25" s="110">
        <f>G25/(Table1123[[#This Row],[b (mm)]]*Z25^2)</f>
        <v>3.4518969718211542E-3</v>
      </c>
      <c r="J25" s="110">
        <f t="shared" si="2"/>
        <v>0.56493217064313295</v>
      </c>
      <c r="K25" s="110">
        <f t="shared" si="3"/>
        <v>2.446401491449556E-6</v>
      </c>
      <c r="L25" s="110">
        <f>E25/(Table1123[[#This Row],[b (mm)]]*Z25)</f>
        <v>1.5102049251717552E-3</v>
      </c>
      <c r="M25" s="110">
        <f>Table1123[[#This Row],[M (KN.mm)]]/(Table1123[[#This Row],[b (mm)]]*Table1123[[#This Row],[d (mm)]])</f>
        <v>0.92062092238470183</v>
      </c>
      <c r="N25" s="110">
        <f>Table1123[[#This Row],[M (KN.mm)]]/(Table1123[[#This Row],[b (mm)]]*Table1123[[#This Row],[h (mm)]])</f>
        <v>0.80554330708661426</v>
      </c>
      <c r="O25" s="110">
        <f>Table1123[[#This Row],[M (KN.mm)]]/(Table1123[[#This Row],[b (mm)]]*Table1123[[#This Row],[h (mm)]]*Table1123[[#This Row],[L(mm)]])</f>
        <v>4.0594308388616779E-4</v>
      </c>
      <c r="P25" s="110">
        <f>Table1123[[#This Row],[M (KN.mm)]]/(Table1123[[#This Row],[b (mm)]]*Table1123[[#This Row],[d (mm)]]*Table1123[[#This Row],[L(mm)]])</f>
        <v>4.6393495301276315E-4</v>
      </c>
      <c r="Q25" s="110">
        <f>Table1123[[#This Row],[M (KN.mm)]]/(Table1123[[#This Row],[b (mm)]]*Table1123[[#This Row],[h (mm)]]*Table1123[[#This Row],[L(mm)]]*Table1123[[#This Row],[fc (Mpa)]])</f>
        <v>1.635548283183593E-5</v>
      </c>
      <c r="R25" s="110">
        <f>Table1123[[#This Row],[M (KN.mm)]]/(Table1123[[#This Row],[b (mm)]]*Table1123[[#This Row],[h (mm)]]*Table1123[[#This Row],[L(mm)]]/2)</f>
        <v>8.1188616777233557E-4</v>
      </c>
      <c r="S25" s="110">
        <f>Table1123[[#This Row],[M (KN.mm)]]/(Table1123[[#This Row],[a (mm)]]*Table1123[[#This Row],[b (mm)]]*Table1123[[#This Row],[h (mm)]]*Table1123[[#This Row],[L(mm)]]/2)</f>
        <v>1.3318342647183986E-6</v>
      </c>
      <c r="T25" s="123">
        <f>G25/(Table1123[pho (%)]*$AK$5*AH25*0.001)</f>
        <v>4.6479195964362842E-6</v>
      </c>
      <c r="U25" s="110">
        <f>Table1123[[#This Row],[M (KN.mm)]]/(Table1123[[#This Row],[b (mm)]]*Table1123[[#This Row],[d (mm)]]*Table1123[[#This Row],[pho (%)]])</f>
        <v>1.0830834380996492</v>
      </c>
      <c r="V25" s="110">
        <f>E25*224.8/(2*SQRT(Table1123[[#This Row],[fc (Mpa)]]*145.037)*Table1123[[#This Row],[b (mm)]]*Table1123[[#This Row],[d (mm)]]*(1/25.4)^2)</f>
        <v>1.8252793232336229</v>
      </c>
      <c r="W25" s="110">
        <f>Table1123[[#This Row],[M (KN.mm)]]/$G$30</f>
        <v>0.51749999999999996</v>
      </c>
      <c r="X25" s="123">
        <f t="shared" si="5"/>
        <v>1.8252793232336229</v>
      </c>
      <c r="Y25" s="110">
        <f t="shared" si="11"/>
        <v>609.59999999999991</v>
      </c>
      <c r="Z25" s="110">
        <f t="shared" si="12"/>
        <v>266.7</v>
      </c>
      <c r="AA25" s="110">
        <f t="shared" si="13"/>
        <v>304.79999999999995</v>
      </c>
      <c r="AB25" s="110">
        <f t="shared" si="14"/>
        <v>228.6</v>
      </c>
      <c r="AC25" s="7">
        <v>24.82</v>
      </c>
      <c r="AD25" s="110">
        <f>Table1123[[#This Row],[pho (%)]]/100*Table1123[[#This Row],[b (mm)]]*Table1123[[#This Row],[h (mm)]]</f>
        <v>592.25687999999991</v>
      </c>
      <c r="AE25" s="111">
        <v>0.85</v>
      </c>
      <c r="AF25" s="110">
        <v>629</v>
      </c>
      <c r="AG25" s="110">
        <f>(1/3-0.21*(MIN(Table1123[[#This Row],[b (mm)]],AA25)/MAX(Table1123[[#This Row],[b (mm)]],AA25))*(MIN(Table1123[[#This Row],[b (mm)]],AA25)^4/(12*MAX(Table1123[[#This Row],[b (mm)]],AA25)^4)))*MAX(Table1123[[#This Row],[b (mm)]],AA25)*MIN(Table1123[[#This Row],[b (mm)]],AA25)^3</f>
        <v>1198609576.1573534</v>
      </c>
      <c r="AH25" s="110">
        <f>Table1123[[#This Row],[b (mm)]]*AA25^3/12</f>
        <v>539435927.57759976</v>
      </c>
      <c r="AI25" s="110">
        <f t="shared" si="15"/>
        <v>1984.375</v>
      </c>
      <c r="AJ25" s="106"/>
      <c r="AK25" s="106"/>
      <c r="AL25" s="106"/>
      <c r="AM25"/>
    </row>
    <row r="26" spans="1:39" s="129" customFormat="1" x14ac:dyDescent="0.25">
      <c r="A26" s="121" t="s">
        <v>70</v>
      </c>
      <c r="B26" s="110" t="s">
        <v>61</v>
      </c>
      <c r="C26" s="110">
        <v>25</v>
      </c>
      <c r="D26" s="123">
        <f>Table1123[[#This Row],[a (mm)]]/Table1123[[#This Row],[d (mm)]]</f>
        <v>2.2857142857142856</v>
      </c>
      <c r="E26" s="110">
        <v>105.41760000000001</v>
      </c>
      <c r="F26" s="124">
        <f>Table1123[[#This Row],[d (mm)]]</f>
        <v>266.7</v>
      </c>
      <c r="G26" s="110">
        <f t="shared" si="0"/>
        <v>64262.568959999997</v>
      </c>
      <c r="H26" s="110">
        <f t="shared" si="1"/>
        <v>4.5233014623289359E-6</v>
      </c>
      <c r="I26" s="110">
        <f>G26/(Table1123[[#This Row],[b (mm)]]*Z26^2)</f>
        <v>3.9521718952734959E-3</v>
      </c>
      <c r="J26" s="110">
        <f t="shared" si="2"/>
        <v>0.64680639827257258</v>
      </c>
      <c r="K26" s="110">
        <f t="shared" si="3"/>
        <v>2.8009524322393471E-6</v>
      </c>
      <c r="L26" s="110">
        <f>E26/(Table1123[[#This Row],[b (mm)]]*Z26)</f>
        <v>1.7290752041821547E-3</v>
      </c>
      <c r="M26" s="110">
        <f>Table1123[[#This Row],[M (KN.mm)]]/(Table1123[[#This Row],[b (mm)]]*Table1123[[#This Row],[d (mm)]])</f>
        <v>1.0540442444694413</v>
      </c>
      <c r="N26" s="110">
        <f>Table1123[[#This Row],[M (KN.mm)]]/(Table1123[[#This Row],[b (mm)]]*Table1123[[#This Row],[h (mm)]])</f>
        <v>0.92228871391076128</v>
      </c>
      <c r="O26" s="110">
        <f>Table1123[[#This Row],[M (KN.mm)]]/(Table1123[[#This Row],[b (mm)]]*Table1123[[#This Row],[h (mm)]]*Table1123[[#This Row],[L(mm)]])</f>
        <v>4.6477541488416317E-4</v>
      </c>
      <c r="P26" s="110">
        <f>Table1123[[#This Row],[M (KN.mm)]]/(Table1123[[#This Row],[b (mm)]]*Table1123[[#This Row],[d (mm)]]*Table1123[[#This Row],[L(mm)]])</f>
        <v>5.3117190272475789E-4</v>
      </c>
      <c r="Q26" s="110">
        <f>Table1123[[#This Row],[M (KN.mm)]]/(Table1123[[#This Row],[b (mm)]]*Table1123[[#This Row],[h (mm)]]*Table1123[[#This Row],[L(mm)]]*Table1123[[#This Row],[fc (Mpa)]])</f>
        <v>1.8725842662536792E-5</v>
      </c>
      <c r="R26" s="110">
        <f>Table1123[[#This Row],[M (KN.mm)]]/(Table1123[[#This Row],[b (mm)]]*Table1123[[#This Row],[h (mm)]]*Table1123[[#This Row],[L(mm)]]/2)</f>
        <v>9.2955082976832633E-4</v>
      </c>
      <c r="S26" s="110">
        <f>Table1123[[#This Row],[M (KN.mm)]]/(Table1123[[#This Row],[a (mm)]]*Table1123[[#This Row],[b (mm)]]*Table1123[[#This Row],[h (mm)]]*Table1123[[#This Row],[L(mm)]]/2)</f>
        <v>1.5248537233732391E-6</v>
      </c>
      <c r="T26" s="123">
        <f>G26/(Table1123[pho (%)]*$AK$5*AH26*0.001)</f>
        <v>5.3215311321516888E-6</v>
      </c>
      <c r="U26" s="110">
        <f>Table1123[[#This Row],[M (KN.mm)]]/(Table1123[[#This Row],[b (mm)]]*Table1123[[#This Row],[d (mm)]]*Table1123[[#This Row],[pho (%)]])</f>
        <v>1.24005205231699</v>
      </c>
      <c r="V26" s="110">
        <f>E26*224.8/(2*SQRT(Table1123[[#This Row],[fc (Mpa)]]*145.037)*Table1123[[#This Row],[b (mm)]]*Table1123[[#This Row],[d (mm)]]*(1/25.4)^2)</f>
        <v>2.0898125584848728</v>
      </c>
      <c r="W26" s="110">
        <f>Table1123[[#This Row],[M (KN.mm)]]/$G$30</f>
        <v>0.59250000000000003</v>
      </c>
      <c r="X26" s="123">
        <f t="shared" si="5"/>
        <v>2.0898125584848728</v>
      </c>
      <c r="Y26" s="110">
        <f t="shared" si="11"/>
        <v>609.59999999999991</v>
      </c>
      <c r="Z26" s="110">
        <f t="shared" si="12"/>
        <v>266.7</v>
      </c>
      <c r="AA26" s="110">
        <f t="shared" si="13"/>
        <v>304.79999999999995</v>
      </c>
      <c r="AB26" s="110">
        <f t="shared" si="14"/>
        <v>228.6</v>
      </c>
      <c r="AC26" s="7">
        <v>24.82</v>
      </c>
      <c r="AD26" s="110">
        <f>Table1123[[#This Row],[pho (%)]]/100*Table1123[[#This Row],[b (mm)]]*Table1123[[#This Row],[h (mm)]]</f>
        <v>592.25687999999991</v>
      </c>
      <c r="AE26" s="111">
        <v>0.85</v>
      </c>
      <c r="AF26" s="110">
        <v>629</v>
      </c>
      <c r="AG26" s="110">
        <f>(1/3-0.21*(MIN(Table1123[[#This Row],[b (mm)]],AA26)/MAX(Table1123[[#This Row],[b (mm)]],AA26))*(MIN(Table1123[[#This Row],[b (mm)]],AA26)^4/(12*MAX(Table1123[[#This Row],[b (mm)]],AA26)^4)))*MAX(Table1123[[#This Row],[b (mm)]],AA26)*MIN(Table1123[[#This Row],[b (mm)]],AA26)^3</f>
        <v>1198609576.1573534</v>
      </c>
      <c r="AH26" s="110">
        <f>Table1123[[#This Row],[b (mm)]]*AA26^3/12</f>
        <v>539435927.57759976</v>
      </c>
      <c r="AI26" s="110">
        <f t="shared" si="15"/>
        <v>1984.375</v>
      </c>
      <c r="AJ26" s="106"/>
      <c r="AK26" s="106"/>
      <c r="AL26" s="106"/>
      <c r="AM26"/>
    </row>
    <row r="27" spans="1:39" s="129" customFormat="1" x14ac:dyDescent="0.25">
      <c r="A27" s="121" t="s">
        <v>70</v>
      </c>
      <c r="B27" s="110" t="s">
        <v>62</v>
      </c>
      <c r="C27" s="110">
        <v>26</v>
      </c>
      <c r="D27" s="123">
        <f>Table1123[[#This Row],[a (mm)]]/Table1123[[#This Row],[d (mm)]]</f>
        <v>2.2857142857142856</v>
      </c>
      <c r="E27" s="110">
        <v>118.7616</v>
      </c>
      <c r="F27" s="124">
        <f>Table1123[[#This Row],[d (mm)]]</f>
        <v>266.7</v>
      </c>
      <c r="G27" s="110">
        <f t="shared" si="0"/>
        <v>72397.071359999987</v>
      </c>
      <c r="H27" s="110">
        <f t="shared" si="1"/>
        <v>5.0958712676870283E-6</v>
      </c>
      <c r="I27" s="110">
        <f>G27/(Table1123[[#This Row],[b (mm)]]*Z27^2)</f>
        <v>4.4524468187258368E-3</v>
      </c>
      <c r="J27" s="110">
        <f t="shared" si="2"/>
        <v>0.72868062590201199</v>
      </c>
      <c r="K27" s="110">
        <f t="shared" si="3"/>
        <v>3.1555033730291379E-6</v>
      </c>
      <c r="L27" s="110">
        <f>E27/(Table1123[[#This Row],[b (mm)]]*Z27)</f>
        <v>1.9479454831925539E-3</v>
      </c>
      <c r="M27" s="110">
        <f>Table1123[[#This Row],[M (KN.mm)]]/(Table1123[[#This Row],[b (mm)]]*Table1123[[#This Row],[d (mm)]])</f>
        <v>1.1874675665541805</v>
      </c>
      <c r="N27" s="110">
        <f>Table1123[[#This Row],[M (KN.mm)]]/(Table1123[[#This Row],[b (mm)]]*Table1123[[#This Row],[h (mm)]])</f>
        <v>1.0390341207349081</v>
      </c>
      <c r="O27" s="110">
        <f>Table1123[[#This Row],[M (KN.mm)]]/(Table1123[[#This Row],[b (mm)]]*Table1123[[#This Row],[h (mm)]]*Table1123[[#This Row],[L(mm)]])</f>
        <v>5.2360774588215849E-4</v>
      </c>
      <c r="P27" s="110">
        <f>Table1123[[#This Row],[M (KN.mm)]]/(Table1123[[#This Row],[b (mm)]]*Table1123[[#This Row],[d (mm)]]*Table1123[[#This Row],[L(mm)]])</f>
        <v>5.9840885243675251E-4</v>
      </c>
      <c r="Q27" s="110">
        <f>Table1123[[#This Row],[M (KN.mm)]]/(Table1123[[#This Row],[b (mm)]]*Table1123[[#This Row],[h (mm)]]*Table1123[[#This Row],[L(mm)]]*Table1123[[#This Row],[fc (Mpa)]])</f>
        <v>2.1096202493237648E-5</v>
      </c>
      <c r="R27" s="110">
        <f>Table1123[[#This Row],[M (KN.mm)]]/(Table1123[[#This Row],[b (mm)]]*Table1123[[#This Row],[h (mm)]]*Table1123[[#This Row],[L(mm)]]/2)</f>
        <v>1.047215491764317E-3</v>
      </c>
      <c r="S27" s="110">
        <f>Table1123[[#This Row],[M (KN.mm)]]/(Table1123[[#This Row],[a (mm)]]*Table1123[[#This Row],[b (mm)]]*Table1123[[#This Row],[h (mm)]]*Table1123[[#This Row],[L(mm)]]/2)</f>
        <v>1.7178731820280792E-6</v>
      </c>
      <c r="T27" s="123">
        <f>G27/(Table1123[pho (%)]*$AK$5*AH27*0.001)</f>
        <v>5.995142667867091E-6</v>
      </c>
      <c r="U27" s="110">
        <f>Table1123[[#This Row],[M (KN.mm)]]/(Table1123[[#This Row],[b (mm)]]*Table1123[[#This Row],[d (mm)]]*Table1123[[#This Row],[pho (%)]])</f>
        <v>1.3970206665343303</v>
      </c>
      <c r="V27" s="110">
        <f>E27*224.8/(2*SQRT(Table1123[[#This Row],[fc (Mpa)]]*145.037)*Table1123[[#This Row],[b (mm)]]*Table1123[[#This Row],[d (mm)]]*(1/25.4)^2)</f>
        <v>2.3543457937361221</v>
      </c>
      <c r="W27" s="110">
        <f>Table1123[[#This Row],[M (KN.mm)]]/$G$30</f>
        <v>0.66749999999999998</v>
      </c>
      <c r="X27" s="123">
        <f t="shared" si="5"/>
        <v>2.3543457937361221</v>
      </c>
      <c r="Y27" s="110">
        <f t="shared" si="11"/>
        <v>609.59999999999991</v>
      </c>
      <c r="Z27" s="110">
        <f t="shared" si="12"/>
        <v>266.7</v>
      </c>
      <c r="AA27" s="110">
        <f t="shared" si="13"/>
        <v>304.79999999999995</v>
      </c>
      <c r="AB27" s="110">
        <f t="shared" si="14"/>
        <v>228.6</v>
      </c>
      <c r="AC27" s="7">
        <v>24.82</v>
      </c>
      <c r="AD27" s="110">
        <f>Table1123[[#This Row],[pho (%)]]/100*Table1123[[#This Row],[b (mm)]]*Table1123[[#This Row],[h (mm)]]</f>
        <v>592.25687999999991</v>
      </c>
      <c r="AE27" s="111">
        <v>0.85</v>
      </c>
      <c r="AF27" s="110">
        <v>629</v>
      </c>
      <c r="AG27" s="110">
        <f>(1/3-0.21*(MIN(Table1123[[#This Row],[b (mm)]],AA27)/MAX(Table1123[[#This Row],[b (mm)]],AA27))*(MIN(Table1123[[#This Row],[b (mm)]],AA27)^4/(12*MAX(Table1123[[#This Row],[b (mm)]],AA27)^4)))*MAX(Table1123[[#This Row],[b (mm)]],AA27)*MIN(Table1123[[#This Row],[b (mm)]],AA27)^3</f>
        <v>1198609576.1573534</v>
      </c>
      <c r="AH27" s="110">
        <f>Table1123[[#This Row],[b (mm)]]*AA27^3/12</f>
        <v>539435927.57759976</v>
      </c>
      <c r="AI27" s="110">
        <f t="shared" si="15"/>
        <v>1984.375</v>
      </c>
      <c r="AJ27" s="106"/>
      <c r="AK27" s="106"/>
      <c r="AL27" s="106"/>
      <c r="AM27"/>
    </row>
    <row r="28" spans="1:39" s="129" customFormat="1" x14ac:dyDescent="0.25">
      <c r="A28" s="121" t="s">
        <v>70</v>
      </c>
      <c r="B28" s="110" t="s">
        <v>63</v>
      </c>
      <c r="C28" s="110">
        <v>27</v>
      </c>
      <c r="D28" s="123">
        <f>Table1123[[#This Row],[a (mm)]]/Table1123[[#This Row],[d (mm)]]</f>
        <v>2.2857142857142856</v>
      </c>
      <c r="E28" s="110">
        <v>132.55040000000002</v>
      </c>
      <c r="F28" s="124">
        <f>Table1123[[#This Row],[d (mm)]]</f>
        <v>266.7</v>
      </c>
      <c r="G28" s="110">
        <f t="shared" si="0"/>
        <v>80802.723840000006</v>
      </c>
      <c r="H28" s="110">
        <f t="shared" si="1"/>
        <v>5.6875267332237256E-6</v>
      </c>
      <c r="I28" s="110">
        <f>G28/(Table1123[[#This Row],[b (mm)]]*Z28^2)</f>
        <v>4.9693975729599238E-3</v>
      </c>
      <c r="J28" s="110">
        <f t="shared" si="2"/>
        <v>0.81328399445243316</v>
      </c>
      <c r="K28" s="110">
        <f t="shared" si="3"/>
        <v>3.521872678511922E-6</v>
      </c>
      <c r="L28" s="110">
        <f>E28/(Table1123[[#This Row],[b (mm)]]*Z28)</f>
        <v>2.1741114381699667E-3</v>
      </c>
      <c r="M28" s="110">
        <f>Table1123[[#This Row],[M (KN.mm)]]/(Table1123[[#This Row],[b (mm)]]*Table1123[[#This Row],[d (mm)]])</f>
        <v>1.3253383327084116</v>
      </c>
      <c r="N28" s="110">
        <f>Table1123[[#This Row],[M (KN.mm)]]/(Table1123[[#This Row],[b (mm)]]*Table1123[[#This Row],[h (mm)]])</f>
        <v>1.1596710411198603</v>
      </c>
      <c r="O28" s="110">
        <f>Table1123[[#This Row],[M (KN.mm)]]/(Table1123[[#This Row],[b (mm)]]*Table1123[[#This Row],[h (mm)]]*Table1123[[#This Row],[L(mm)]])</f>
        <v>5.8440115458008714E-4</v>
      </c>
      <c r="P28" s="110">
        <f>Table1123[[#This Row],[M (KN.mm)]]/(Table1123[[#This Row],[b (mm)]]*Table1123[[#This Row],[d (mm)]]*Table1123[[#This Row],[L(mm)]])</f>
        <v>6.6788703380581376E-4</v>
      </c>
      <c r="Q28" s="110">
        <f>Table1123[[#This Row],[M (KN.mm)]]/(Table1123[[#This Row],[b (mm)]]*Table1123[[#This Row],[h (mm)]]*Table1123[[#This Row],[L(mm)]]*Table1123[[#This Row],[fc (Mpa)]])</f>
        <v>2.3545574318295211E-5</v>
      </c>
      <c r="R28" s="110">
        <f>Table1123[[#This Row],[M (KN.mm)]]/(Table1123[[#This Row],[b (mm)]]*Table1123[[#This Row],[h (mm)]]*Table1123[[#This Row],[L(mm)]]/2)</f>
        <v>1.1688023091601743E-3</v>
      </c>
      <c r="S28" s="110">
        <f>Table1123[[#This Row],[M (KN.mm)]]/(Table1123[[#This Row],[a (mm)]]*Table1123[[#This Row],[b (mm)]]*Table1123[[#This Row],[h (mm)]]*Table1123[[#This Row],[L(mm)]]/2)</f>
        <v>1.9173266226380814E-6</v>
      </c>
      <c r="T28" s="123">
        <f>G28/(Table1123[pho (%)]*$AK$5*AH28*0.001)</f>
        <v>6.6912079214396768E-6</v>
      </c>
      <c r="U28" s="110">
        <f>Table1123[[#This Row],[M (KN.mm)]]/(Table1123[[#This Row],[b (mm)]]*Table1123[[#This Row],[d (mm)]]*Table1123[[#This Row],[pho (%)]])</f>
        <v>1.5592215678922492</v>
      </c>
      <c r="V28" s="110">
        <f>E28*224.8/(2*SQRT(Table1123[[#This Row],[fc (Mpa)]]*145.037)*Table1123[[#This Row],[b (mm)]]*Table1123[[#This Row],[d (mm)]]*(1/25.4)^2)</f>
        <v>2.6276968034957475</v>
      </c>
      <c r="W28" s="110">
        <f>Table1123[[#This Row],[M (KN.mm)]]/$G$30</f>
        <v>0.74500000000000011</v>
      </c>
      <c r="X28" s="123">
        <f t="shared" si="5"/>
        <v>2.6276968034957475</v>
      </c>
      <c r="Y28" s="110">
        <f t="shared" si="11"/>
        <v>609.59999999999991</v>
      </c>
      <c r="Z28" s="110">
        <f t="shared" si="12"/>
        <v>266.7</v>
      </c>
      <c r="AA28" s="110">
        <f t="shared" si="13"/>
        <v>304.79999999999995</v>
      </c>
      <c r="AB28" s="110">
        <f t="shared" si="14"/>
        <v>228.6</v>
      </c>
      <c r="AC28" s="7">
        <v>24.82</v>
      </c>
      <c r="AD28" s="110">
        <f>Table1123[[#This Row],[pho (%)]]/100*Table1123[[#This Row],[b (mm)]]*Table1123[[#This Row],[h (mm)]]</f>
        <v>592.25687999999991</v>
      </c>
      <c r="AE28" s="111">
        <v>0.85</v>
      </c>
      <c r="AF28" s="110">
        <v>629</v>
      </c>
      <c r="AG28" s="110">
        <f>(1/3-0.21*(MIN(Table1123[[#This Row],[b (mm)]],AA28)/MAX(Table1123[[#This Row],[b (mm)]],AA28))*(MIN(Table1123[[#This Row],[b (mm)]],AA28)^4/(12*MAX(Table1123[[#This Row],[b (mm)]],AA28)^4)))*MAX(Table1123[[#This Row],[b (mm)]],AA28)*MIN(Table1123[[#This Row],[b (mm)]],AA28)^3</f>
        <v>1198609576.1573534</v>
      </c>
      <c r="AH28" s="110">
        <f>Table1123[[#This Row],[b (mm)]]*AA28^3/12</f>
        <v>539435927.57759976</v>
      </c>
      <c r="AI28" s="110">
        <f t="shared" si="15"/>
        <v>1984.375</v>
      </c>
      <c r="AJ28" s="106"/>
      <c r="AK28" s="106"/>
      <c r="AL28" s="106"/>
      <c r="AM28"/>
    </row>
    <row r="29" spans="1:39" s="129" customFormat="1" x14ac:dyDescent="0.25">
      <c r="A29" s="121" t="s">
        <v>70</v>
      </c>
      <c r="B29" s="110" t="s">
        <v>64</v>
      </c>
      <c r="C29" s="110">
        <v>28</v>
      </c>
      <c r="D29" s="123">
        <f>Table1123[[#This Row],[a (mm)]]/Table1123[[#This Row],[d (mm)]]</f>
        <v>2.2857142857142856</v>
      </c>
      <c r="E29" s="110">
        <v>154.79040000000001</v>
      </c>
      <c r="F29" s="124">
        <f>Table1123[[#This Row],[d (mm)]]</f>
        <v>266.7</v>
      </c>
      <c r="G29" s="110">
        <f t="shared" si="0"/>
        <v>94360.227839999992</v>
      </c>
      <c r="H29" s="110">
        <f t="shared" si="1"/>
        <v>6.6418097421538801E-6</v>
      </c>
      <c r="I29" s="110">
        <f>G29/(Table1123[[#This Row],[b (mm)]]*Z29^2)</f>
        <v>5.8031891120471583E-3</v>
      </c>
      <c r="J29" s="110">
        <f t="shared" si="2"/>
        <v>0.94974104050149888</v>
      </c>
      <c r="K29" s="110">
        <f t="shared" si="3"/>
        <v>4.1127909131615726E-6</v>
      </c>
      <c r="L29" s="110">
        <f>E29/(Table1123[[#This Row],[b (mm)]]*Z29)</f>
        <v>2.5388952365206319E-3</v>
      </c>
      <c r="M29" s="110">
        <f>Table1123[[#This Row],[M (KN.mm)]]/(Table1123[[#This Row],[b (mm)]]*Table1123[[#This Row],[d (mm)]])</f>
        <v>1.547710536182977</v>
      </c>
      <c r="N29" s="110">
        <f>Table1123[[#This Row],[M (KN.mm)]]/(Table1123[[#This Row],[b (mm)]]*Table1123[[#This Row],[h (mm)]])</f>
        <v>1.3542467191601051</v>
      </c>
      <c r="O29" s="110">
        <f>Table1123[[#This Row],[M (KN.mm)]]/(Table1123[[#This Row],[b (mm)]]*Table1123[[#This Row],[h (mm)]]*Table1123[[#This Row],[L(mm)]])</f>
        <v>6.8245503957674596E-4</v>
      </c>
      <c r="P29" s="110">
        <f>Table1123[[#This Row],[M (KN.mm)]]/(Table1123[[#This Row],[b (mm)]]*Table1123[[#This Row],[d (mm)]]*Table1123[[#This Row],[L(mm)]])</f>
        <v>7.7994861665913807E-4</v>
      </c>
      <c r="Q29" s="110">
        <f>Table1123[[#This Row],[M (KN.mm)]]/(Table1123[[#This Row],[b (mm)]]*Table1123[[#This Row],[h (mm)]]*Table1123[[#This Row],[L(mm)]]*Table1123[[#This Row],[fc (Mpa)]])</f>
        <v>2.7496174036129972E-5</v>
      </c>
      <c r="R29" s="110">
        <f>Table1123[[#This Row],[M (KN.mm)]]/(Table1123[[#This Row],[b (mm)]]*Table1123[[#This Row],[h (mm)]]*Table1123[[#This Row],[L(mm)]]/2)</f>
        <v>1.3649100791534919E-3</v>
      </c>
      <c r="S29" s="110">
        <f>Table1123[[#This Row],[M (KN.mm)]]/(Table1123[[#This Row],[a (mm)]]*Table1123[[#This Row],[b (mm)]]*Table1123[[#This Row],[h (mm)]]*Table1123[[#This Row],[L(mm)]]/2)</f>
        <v>2.2390257203961482E-6</v>
      </c>
      <c r="T29" s="123">
        <f>G29/(Table1123[pho (%)]*$AK$5*AH29*0.001)</f>
        <v>7.8138938142986821E-6</v>
      </c>
      <c r="U29" s="110">
        <f>Table1123[[#This Row],[M (KN.mm)]]/(Table1123[[#This Row],[b (mm)]]*Table1123[[#This Row],[d (mm)]]*Table1123[[#This Row],[pho (%)]])</f>
        <v>1.8208359249211497</v>
      </c>
      <c r="V29" s="110">
        <f>E29*224.8/(2*SQRT(Table1123[[#This Row],[fc (Mpa)]]*145.037)*Table1123[[#This Row],[b (mm)]]*Table1123[[#This Row],[d (mm)]]*(1/25.4)^2)</f>
        <v>3.0685855289144963</v>
      </c>
      <c r="W29" s="110">
        <f>Table1123[[#This Row],[M (KN.mm)]]/$G$30</f>
        <v>0.87</v>
      </c>
      <c r="X29" s="123">
        <f t="shared" si="5"/>
        <v>3.0685855289144963</v>
      </c>
      <c r="Y29" s="110">
        <f t="shared" si="11"/>
        <v>609.59999999999991</v>
      </c>
      <c r="Z29" s="110">
        <f t="shared" si="12"/>
        <v>266.7</v>
      </c>
      <c r="AA29" s="110">
        <f t="shared" si="13"/>
        <v>304.79999999999995</v>
      </c>
      <c r="AB29" s="110">
        <f t="shared" si="14"/>
        <v>228.6</v>
      </c>
      <c r="AC29" s="7">
        <v>24.82</v>
      </c>
      <c r="AD29" s="110">
        <f>Table1123[[#This Row],[pho (%)]]/100*Table1123[[#This Row],[b (mm)]]*Table1123[[#This Row],[h (mm)]]</f>
        <v>592.25687999999991</v>
      </c>
      <c r="AE29" s="111">
        <v>0.85</v>
      </c>
      <c r="AF29" s="110">
        <v>629</v>
      </c>
      <c r="AG29" s="110">
        <f>(1/3-0.21*(MIN(Table1123[[#This Row],[b (mm)]],AA29)/MAX(Table1123[[#This Row],[b (mm)]],AA29))*(MIN(Table1123[[#This Row],[b (mm)]],AA29)^4/(12*MAX(Table1123[[#This Row],[b (mm)]],AA29)^4)))*MAX(Table1123[[#This Row],[b (mm)]],AA29)*MIN(Table1123[[#This Row],[b (mm)]],AA29)^3</f>
        <v>1198609576.1573534</v>
      </c>
      <c r="AH29" s="110">
        <f>Table1123[[#This Row],[b (mm)]]*AA29^3/12</f>
        <v>539435927.57759976</v>
      </c>
      <c r="AI29" s="110">
        <f t="shared" si="15"/>
        <v>1984.375</v>
      </c>
      <c r="AJ29" s="106"/>
      <c r="AK29" s="106"/>
      <c r="AL29" s="106"/>
      <c r="AM29"/>
    </row>
    <row r="30" spans="1:39" s="129" customFormat="1" x14ac:dyDescent="0.25">
      <c r="A30" s="122" t="s">
        <v>70</v>
      </c>
      <c r="B30" s="110" t="s">
        <v>65</v>
      </c>
      <c r="C30" s="110">
        <v>29</v>
      </c>
      <c r="D30" s="123">
        <f>Table1123[[#This Row],[a (mm)]]/Table1123[[#This Row],[d (mm)]]</f>
        <v>2.2857142857142856</v>
      </c>
      <c r="E30" s="110">
        <v>177.92000000000002</v>
      </c>
      <c r="F30" s="124">
        <f>Table1123[[#This Row],[d (mm)]]</f>
        <v>266.7</v>
      </c>
      <c r="G30" s="110">
        <f t="shared" si="0"/>
        <v>108460.03199999999</v>
      </c>
      <c r="H30" s="110">
        <f t="shared" si="1"/>
        <v>7.6342640714412412E-6</v>
      </c>
      <c r="I30" s="110">
        <f>G30/(Table1123[[#This Row],[b (mm)]]*Z30^2)</f>
        <v>6.6703323126978834E-3</v>
      </c>
      <c r="J30" s="110">
        <f t="shared" si="2"/>
        <v>1.0916563683925276</v>
      </c>
      <c r="K30" s="110">
        <f t="shared" si="3"/>
        <v>4.7273458771972104E-6</v>
      </c>
      <c r="L30" s="110">
        <f>E30/(Table1123[[#This Row],[b (mm)]]*Z30)</f>
        <v>2.9182703868053245E-3</v>
      </c>
      <c r="M30" s="110">
        <f>Table1123[[#This Row],[M (KN.mm)]]/(Table1123[[#This Row],[b (mm)]]*Table1123[[#This Row],[d (mm)]])</f>
        <v>1.7789776277965255</v>
      </c>
      <c r="N30" s="110">
        <f>Table1123[[#This Row],[M (KN.mm)]]/(Table1123[[#This Row],[b (mm)]]*Table1123[[#This Row],[h (mm)]])</f>
        <v>1.55660542432196</v>
      </c>
      <c r="O30" s="110">
        <f>Table1123[[#This Row],[M (KN.mm)]]/(Table1123[[#This Row],[b (mm)]]*Table1123[[#This Row],[h (mm)]]*Table1123[[#This Row],[L(mm)]])</f>
        <v>7.8443107997327121E-4</v>
      </c>
      <c r="P30" s="110">
        <f>Table1123[[#This Row],[M (KN.mm)]]/(Table1123[[#This Row],[b (mm)]]*Table1123[[#This Row],[d (mm)]]*Table1123[[#This Row],[L(mm)]])</f>
        <v>8.9649266282659551E-4</v>
      </c>
      <c r="Q30" s="110">
        <f>Table1123[[#This Row],[M (KN.mm)]]/(Table1123[[#This Row],[b (mm)]]*Table1123[[#This Row],[h (mm)]]*Table1123[[#This Row],[L(mm)]]*Table1123[[#This Row],[fc (Mpa)]])</f>
        <v>3.1604797742678127E-5</v>
      </c>
      <c r="R30" s="110">
        <f>Table1123[[#This Row],[M (KN.mm)]]/(Table1123[[#This Row],[b (mm)]]*Table1123[[#This Row],[h (mm)]]*Table1123[[#This Row],[L(mm)]]/2)</f>
        <v>1.5688621599465424E-3</v>
      </c>
      <c r="S30" s="110">
        <f>Table1123[[#This Row],[M (KN.mm)]]/(Table1123[[#This Row],[a (mm)]]*Table1123[[#This Row],[b (mm)]]*Table1123[[#This Row],[h (mm)]]*Table1123[[#This Row],[L(mm)]]/2)</f>
        <v>2.5735927820645385E-6</v>
      </c>
      <c r="T30" s="123">
        <f>G30/(Table1123[pho (%)]*$AK$5*AH30*0.001)</f>
        <v>8.9814871428720472E-6</v>
      </c>
      <c r="U30" s="110">
        <f>Table1123[[#This Row],[M (KN.mm)]]/(Table1123[[#This Row],[b (mm)]]*Table1123[[#This Row],[d (mm)]]*Table1123[[#This Row],[pho (%)]])</f>
        <v>2.0929148562312068</v>
      </c>
      <c r="V30" s="110">
        <f>E30*224.8/(2*SQRT(Table1123[[#This Row],[fc (Mpa)]]*145.037)*Table1123[[#This Row],[b (mm)]]*Table1123[[#This Row],[d (mm)]]*(1/25.4)^2)</f>
        <v>3.5271098033499961</v>
      </c>
      <c r="W30" s="110">
        <f>Table1123[[#This Row],[M (KN.mm)]]/$G$30</f>
        <v>1</v>
      </c>
      <c r="X30" s="123">
        <f t="shared" si="5"/>
        <v>3.5271098033499961</v>
      </c>
      <c r="Y30" s="110">
        <f t="shared" si="11"/>
        <v>609.59999999999991</v>
      </c>
      <c r="Z30" s="110">
        <f t="shared" si="12"/>
        <v>266.7</v>
      </c>
      <c r="AA30" s="110">
        <f t="shared" si="13"/>
        <v>304.79999999999995</v>
      </c>
      <c r="AB30" s="110">
        <f t="shared" si="14"/>
        <v>228.6</v>
      </c>
      <c r="AC30" s="7">
        <v>24.82</v>
      </c>
      <c r="AD30" s="110">
        <f>Table1123[[#This Row],[pho (%)]]/100*Table1123[[#This Row],[b (mm)]]*Table1123[[#This Row],[h (mm)]]</f>
        <v>592.25687999999991</v>
      </c>
      <c r="AE30" s="111">
        <v>0.85</v>
      </c>
      <c r="AF30" s="110">
        <v>629</v>
      </c>
      <c r="AG30" s="110">
        <f>(1/3-0.21*(MIN(Table1123[[#This Row],[b (mm)]],AA30)/MAX(Table1123[[#This Row],[b (mm)]],AA30))*(MIN(Table1123[[#This Row],[b (mm)]],AA30)^4/(12*MAX(Table1123[[#This Row],[b (mm)]],AA30)^4)))*MAX(Table1123[[#This Row],[b (mm)]],AA30)*MIN(Table1123[[#This Row],[b (mm)]],AA30)^3</f>
        <v>1198609576.1573534</v>
      </c>
      <c r="AH30" s="110">
        <f>Table1123[[#This Row],[b (mm)]]*AA30^3/12</f>
        <v>539435927.57759976</v>
      </c>
      <c r="AI30" s="110">
        <f t="shared" si="15"/>
        <v>1984.375</v>
      </c>
      <c r="AJ30" s="106"/>
      <c r="AK30" s="106"/>
      <c r="AL30" s="106"/>
      <c r="AM30"/>
    </row>
    <row r="31" spans="1:39" x14ac:dyDescent="0.25">
      <c r="A31" s="115" t="s">
        <v>71</v>
      </c>
      <c r="B31" s="109" t="s">
        <v>60</v>
      </c>
      <c r="C31" s="109">
        <v>30</v>
      </c>
      <c r="D31" s="123">
        <f>Table1123[[#This Row],[a (mm)]]/Table1123[[#This Row],[d (mm)]]</f>
        <v>2.2857142857142856</v>
      </c>
      <c r="E31" s="109">
        <v>81.843199999999996</v>
      </c>
      <c r="F31" s="124">
        <f>Table1123[[#This Row],[d (mm)]]</f>
        <v>266.7</v>
      </c>
      <c r="G31" s="109">
        <f t="shared" si="0"/>
        <v>49891.61471999999</v>
      </c>
      <c r="H31" s="109">
        <f t="shared" si="1"/>
        <v>3.5117614728629707E-6</v>
      </c>
      <c r="I31" s="109">
        <f>G31/(Table1123[[#This Row],[b (mm)]]*Z31^2)</f>
        <v>3.0683528638410259E-3</v>
      </c>
      <c r="J31" s="109">
        <f t="shared" si="2"/>
        <v>0.77606843643905132</v>
      </c>
      <c r="K31" s="109">
        <f t="shared" si="3"/>
        <v>2.1745791035107164E-6</v>
      </c>
      <c r="L31" s="109">
        <f>E31/(Table1123[[#This Row],[b (mm)]]*Z31)</f>
        <v>1.342404377930449E-3</v>
      </c>
      <c r="M31" s="109">
        <f>Table1123[[#This Row],[M (KN.mm)]]/(Table1123[[#This Row],[b (mm)]]*Table1123[[#This Row],[d (mm)]])</f>
        <v>0.81832970878640166</v>
      </c>
      <c r="N31" s="109">
        <f>Table1123[[#This Row],[M (KN.mm)]]/(Table1123[[#This Row],[b (mm)]]*Table1123[[#This Row],[h (mm)]])</f>
        <v>0.71603849518810148</v>
      </c>
      <c r="O31" s="109">
        <f>Table1123[[#This Row],[M (KN.mm)]]/(Table1123[[#This Row],[b (mm)]]*Table1123[[#This Row],[h (mm)]]*Table1123[[#This Row],[L(mm)]])</f>
        <v>3.608382967877047E-4</v>
      </c>
      <c r="P31" s="109">
        <f>Table1123[[#This Row],[M (KN.mm)]]/(Table1123[[#This Row],[b (mm)]]*Table1123[[#This Row],[d (mm)]]*Table1123[[#This Row],[L(mm)]])</f>
        <v>4.1238662490023387E-4</v>
      </c>
      <c r="Q31" s="109">
        <f>Table1123[[#This Row],[M (KN.mm)]]/(Table1123[[#This Row],[b (mm)]]*Table1123[[#This Row],[h (mm)]]*Table1123[[#This Row],[L(mm)]]*Table1123[[#This Row],[fc (Mpa)]])</f>
        <v>1.0682009970032702E-5</v>
      </c>
      <c r="R31" s="109">
        <f>Table1123[[#This Row],[M (KN.mm)]]/(Table1123[[#This Row],[b (mm)]]*Table1123[[#This Row],[h (mm)]]*Table1123[[#This Row],[L(mm)]]/2)</f>
        <v>7.216765935754094E-4</v>
      </c>
      <c r="S31" s="109">
        <f>Table1123[[#This Row],[M (KN.mm)]]/(Table1123[[#This Row],[a (mm)]]*Table1123[[#This Row],[b (mm)]]*Table1123[[#This Row],[h (mm)]]*Table1123[[#This Row],[L(mm)]]/2)</f>
        <v>1.1838526797496875E-6</v>
      </c>
      <c r="T31" s="123">
        <f>G31/(Table1123[pho (%)]*$AK$5*AH31*0.001)</f>
        <v>6.3850208597508543E-6</v>
      </c>
      <c r="U31" s="109">
        <f>Table1123[[#This Row],[M (KN.mm)]]/(Table1123[[#This Row],[b (mm)]]*Table1123[[#This Row],[d (mm)]]*Table1123[[#This Row],[pho (%)]])</f>
        <v>1.4878721977934575</v>
      </c>
      <c r="V31" s="109">
        <f>E31*224.8/(2*SQRT(Table1123[[#This Row],[fc (Mpa)]]*145.037)*Table1123[[#This Row],[b (mm)]]*Table1123[[#This Row],[d (mm)]]*(1/25.4)^2)</f>
        <v>1.3907461861769692</v>
      </c>
      <c r="W31" s="110">
        <f>Table1123[[#This Row],[M (KN.mm)]]/$G$38</f>
        <v>0.4181818181818181</v>
      </c>
      <c r="X31" s="123">
        <f t="shared" si="5"/>
        <v>1.3907461861769692</v>
      </c>
      <c r="Y31" s="109">
        <f t="shared" si="11"/>
        <v>609.59999999999991</v>
      </c>
      <c r="Z31" s="109">
        <f t="shared" si="12"/>
        <v>266.7</v>
      </c>
      <c r="AA31" s="109">
        <f t="shared" si="13"/>
        <v>304.79999999999995</v>
      </c>
      <c r="AB31" s="109">
        <f t="shared" si="14"/>
        <v>228.6</v>
      </c>
      <c r="AC31" s="7">
        <v>33.78</v>
      </c>
      <c r="AD31" s="110">
        <f>Table1123[[#This Row],[pho (%)]]/100*Table1123[[#This Row],[b (mm)]]*Table1123[[#This Row],[h (mm)]]</f>
        <v>383.22503999999998</v>
      </c>
      <c r="AE31" s="111">
        <v>0.55000000000000004</v>
      </c>
      <c r="AF31" s="110">
        <v>629</v>
      </c>
      <c r="AG31" s="110">
        <f>(1/3-0.21*(MIN(Table1123[[#This Row],[b (mm)]],AA31)/MAX(Table1123[[#This Row],[b (mm)]],AA31))*(MIN(Table1123[[#This Row],[b (mm)]],AA31)^4/(12*MAX(Table1123[[#This Row],[b (mm)]],AA31)^4)))*MAX(Table1123[[#This Row],[b (mm)]],AA31)*MIN(Table1123[[#This Row],[b (mm)]],AA31)^3</f>
        <v>1198609576.1573534</v>
      </c>
      <c r="AH31" s="110">
        <f>Table1123[[#This Row],[b (mm)]]*AA31^3/12</f>
        <v>539435927.57759976</v>
      </c>
      <c r="AI31" s="110">
        <f t="shared" si="15"/>
        <v>1984.375</v>
      </c>
      <c r="AJ31"/>
      <c r="AK31"/>
    </row>
    <row r="32" spans="1:39" x14ac:dyDescent="0.25">
      <c r="A32" s="115" t="s">
        <v>71</v>
      </c>
      <c r="B32" s="109" t="s">
        <v>61</v>
      </c>
      <c r="C32" s="109">
        <v>31</v>
      </c>
      <c r="D32" s="123">
        <f>Table1123[[#This Row],[a (mm)]]/Table1123[[#This Row],[d (mm)]]</f>
        <v>2.2857142857142856</v>
      </c>
      <c r="E32" s="109">
        <v>95.187200000000004</v>
      </c>
      <c r="F32" s="124">
        <f>Table1123[[#This Row],[d (mm)]]</f>
        <v>266.7</v>
      </c>
      <c r="G32" s="109">
        <f t="shared" si="0"/>
        <v>58026.117119999995</v>
      </c>
      <c r="H32" s="109">
        <f t="shared" si="1"/>
        <v>4.0843312782210639E-6</v>
      </c>
      <c r="I32" s="109">
        <f>G32/(Table1123[[#This Row],[b (mm)]]*Z32^2)</f>
        <v>3.5686277872933676E-3</v>
      </c>
      <c r="J32" s="109">
        <f t="shared" si="2"/>
        <v>0.90260133368454887</v>
      </c>
      <c r="K32" s="109">
        <f t="shared" si="3"/>
        <v>2.5291300443005076E-6</v>
      </c>
      <c r="L32" s="109">
        <f>E32/(Table1123[[#This Row],[b (mm)]]*Z32)</f>
        <v>1.5612746569408484E-3</v>
      </c>
      <c r="M32" s="109">
        <f>Table1123[[#This Row],[M (KN.mm)]]/(Table1123[[#This Row],[b (mm)]]*Table1123[[#This Row],[d (mm)]])</f>
        <v>0.95175303087114116</v>
      </c>
      <c r="N32" s="109">
        <f>Table1123[[#This Row],[M (KN.mm)]]/(Table1123[[#This Row],[b (mm)]]*Table1123[[#This Row],[h (mm)]])</f>
        <v>0.83278390201224861</v>
      </c>
      <c r="O32" s="109">
        <f>Table1123[[#This Row],[M (KN.mm)]]/(Table1123[[#This Row],[b (mm)]]*Table1123[[#This Row],[h (mm)]]*Table1123[[#This Row],[L(mm)]])</f>
        <v>4.1967062778570008E-4</v>
      </c>
      <c r="P32" s="109">
        <f>Table1123[[#This Row],[M (KN.mm)]]/(Table1123[[#This Row],[b (mm)]]*Table1123[[#This Row],[d (mm)]]*Table1123[[#This Row],[L(mm)]])</f>
        <v>4.7962357461222861E-4</v>
      </c>
      <c r="Q32" s="109">
        <f>Table1123[[#This Row],[M (KN.mm)]]/(Table1123[[#This Row],[b (mm)]]*Table1123[[#This Row],[h (mm)]]*Table1123[[#This Row],[L(mm)]]*Table1123[[#This Row],[fc (Mpa)]])</f>
        <v>1.2423642030364123E-5</v>
      </c>
      <c r="R32" s="109">
        <f>Table1123[[#This Row],[M (KN.mm)]]/(Table1123[[#This Row],[b (mm)]]*Table1123[[#This Row],[h (mm)]]*Table1123[[#This Row],[L(mm)]]/2)</f>
        <v>8.3934125557140016E-4</v>
      </c>
      <c r="S32" s="109">
        <f>Table1123[[#This Row],[M (KN.mm)]]/(Table1123[[#This Row],[a (mm)]]*Table1123[[#This Row],[b (mm)]]*Table1123[[#This Row],[h (mm)]]*Table1123[[#This Row],[L(mm)]]/2)</f>
        <v>1.3768721384045279E-6</v>
      </c>
      <c r="T32" s="123">
        <f>G32/(Table1123[pho (%)]*$AK$5*AH32*0.001)</f>
        <v>7.4260568694928428E-6</v>
      </c>
      <c r="U32" s="109">
        <f>Table1123[[#This Row],[M (KN.mm)]]/(Table1123[[#This Row],[b (mm)]]*Table1123[[#This Row],[d (mm)]]*Table1123[[#This Row],[pho (%)]])</f>
        <v>1.7304600561293473</v>
      </c>
      <c r="V32" s="109">
        <f>E32*224.8/(2*SQRT(Table1123[[#This Row],[fc (Mpa)]]*145.037)*Table1123[[#This Row],[b (mm)]]*Table1123[[#This Row],[d (mm)]]*(1/25.4)^2)</f>
        <v>1.6174982817493013</v>
      </c>
      <c r="W32" s="110">
        <f>Table1123[[#This Row],[M (KN.mm)]]/$G$38</f>
        <v>0.48636363636363633</v>
      </c>
      <c r="X32" s="123">
        <f t="shared" si="5"/>
        <v>1.6174982817493013</v>
      </c>
      <c r="Y32" s="109">
        <f t="shared" si="11"/>
        <v>609.59999999999991</v>
      </c>
      <c r="Z32" s="109">
        <f t="shared" si="12"/>
        <v>266.7</v>
      </c>
      <c r="AA32" s="109">
        <f t="shared" si="13"/>
        <v>304.79999999999995</v>
      </c>
      <c r="AB32" s="109">
        <f t="shared" si="14"/>
        <v>228.6</v>
      </c>
      <c r="AC32" s="7">
        <v>33.78</v>
      </c>
      <c r="AD32" s="110">
        <f>Table1123[[#This Row],[pho (%)]]/100*Table1123[[#This Row],[b (mm)]]*Table1123[[#This Row],[h (mm)]]</f>
        <v>383.22503999999998</v>
      </c>
      <c r="AE32" s="111">
        <v>0.55000000000000004</v>
      </c>
      <c r="AF32" s="110">
        <v>629</v>
      </c>
      <c r="AG32" s="110">
        <f>(1/3-0.21*(MIN(Table1123[[#This Row],[b (mm)]],AA32)/MAX(Table1123[[#This Row],[b (mm)]],AA32))*(MIN(Table1123[[#This Row],[b (mm)]],AA32)^4/(12*MAX(Table1123[[#This Row],[b (mm)]],AA32)^4)))*MAX(Table1123[[#This Row],[b (mm)]],AA32)*MIN(Table1123[[#This Row],[b (mm)]],AA32)^3</f>
        <v>1198609576.1573534</v>
      </c>
      <c r="AH32" s="110">
        <f>Table1123[[#This Row],[b (mm)]]*AA32^3/12</f>
        <v>539435927.57759976</v>
      </c>
      <c r="AI32" s="110">
        <f t="shared" si="15"/>
        <v>1984.375</v>
      </c>
      <c r="AJ32"/>
      <c r="AK32"/>
    </row>
    <row r="33" spans="1:37" x14ac:dyDescent="0.25">
      <c r="A33" s="115" t="s">
        <v>71</v>
      </c>
      <c r="B33" s="109" t="s">
        <v>62</v>
      </c>
      <c r="C33" s="109">
        <v>32</v>
      </c>
      <c r="D33" s="123">
        <f>Table1123[[#This Row],[a (mm)]]/Table1123[[#This Row],[d (mm)]]</f>
        <v>2.2857142857142856</v>
      </c>
      <c r="E33" s="109">
        <v>108.97600000000001</v>
      </c>
      <c r="F33" s="124">
        <f>Table1123[[#This Row],[d (mm)]]</f>
        <v>266.7</v>
      </c>
      <c r="G33" s="109">
        <f t="shared" si="0"/>
        <v>66431.7696</v>
      </c>
      <c r="H33" s="109">
        <f t="shared" si="1"/>
        <v>4.6759867437577604E-6</v>
      </c>
      <c r="I33" s="109">
        <f>G33/(Table1123[[#This Row],[b (mm)]]*Z33^2)</f>
        <v>4.0855785415274534E-3</v>
      </c>
      <c r="J33" s="109">
        <f t="shared" si="2"/>
        <v>1.033351994171563</v>
      </c>
      <c r="K33" s="109">
        <f t="shared" si="3"/>
        <v>2.8954993497832913E-6</v>
      </c>
      <c r="L33" s="109">
        <f>E33/(Table1123[[#This Row],[b (mm)]]*Z33)</f>
        <v>1.7874406119182612E-3</v>
      </c>
      <c r="M33" s="109">
        <f>Table1123[[#This Row],[M (KN.mm)]]/(Table1123[[#This Row],[b (mm)]]*Table1123[[#This Row],[d (mm)]])</f>
        <v>1.0896237970253719</v>
      </c>
      <c r="N33" s="109">
        <f>Table1123[[#This Row],[M (KN.mm)]]/(Table1123[[#This Row],[b (mm)]]*Table1123[[#This Row],[h (mm)]])</f>
        <v>0.95342082239720061</v>
      </c>
      <c r="O33" s="109">
        <f>Table1123[[#This Row],[M (KN.mm)]]/(Table1123[[#This Row],[b (mm)]]*Table1123[[#This Row],[h (mm)]]*Table1123[[#This Row],[L(mm)]])</f>
        <v>4.8046403648362862E-4</v>
      </c>
      <c r="P33" s="109">
        <f>Table1123[[#This Row],[M (KN.mm)]]/(Table1123[[#This Row],[b (mm)]]*Table1123[[#This Row],[d (mm)]]*Table1123[[#This Row],[L(mm)]])</f>
        <v>5.491017559812898E-4</v>
      </c>
      <c r="Q33" s="109">
        <f>Table1123[[#This Row],[M (KN.mm)]]/(Table1123[[#This Row],[b (mm)]]*Table1123[[#This Row],[h (mm)]]*Table1123[[#This Row],[L(mm)]]*Table1123[[#This Row],[fc (Mpa)]])</f>
        <v>1.422332849270659E-5</v>
      </c>
      <c r="R33" s="109">
        <f>Table1123[[#This Row],[M (KN.mm)]]/(Table1123[[#This Row],[b (mm)]]*Table1123[[#This Row],[h (mm)]]*Table1123[[#This Row],[L(mm)]]/2)</f>
        <v>9.6092807296725724E-4</v>
      </c>
      <c r="S33" s="109">
        <f>Table1123[[#This Row],[M (KN.mm)]]/(Table1123[[#This Row],[a (mm)]]*Table1123[[#This Row],[b (mm)]]*Table1123[[#This Row],[h (mm)]]*Table1123[[#This Row],[L(mm)]]/2)</f>
        <v>1.5763255790145298E-6</v>
      </c>
      <c r="T33" s="123">
        <f>G33/(Table1123[pho (%)]*$AK$5*AH33*0.001)</f>
        <v>8.5017940795595642E-6</v>
      </c>
      <c r="U33" s="109">
        <f>Table1123[[#This Row],[M (KN.mm)]]/(Table1123[[#This Row],[b (mm)]]*Table1123[[#This Row],[d (mm)]]*Table1123[[#This Row],[pho (%)]])</f>
        <v>1.981134176409767</v>
      </c>
      <c r="V33" s="109">
        <f>E33*224.8/(2*SQRT(Table1123[[#This Row],[fc (Mpa)]]*145.037)*Table1123[[#This Row],[b (mm)]]*Table1123[[#This Row],[d (mm)]]*(1/25.4)^2)</f>
        <v>1.851808780507378</v>
      </c>
      <c r="W33" s="110">
        <f>Table1123[[#This Row],[M (KN.mm)]]/$G$38</f>
        <v>0.55681818181818177</v>
      </c>
      <c r="X33" s="123">
        <f t="shared" si="5"/>
        <v>1.851808780507378</v>
      </c>
      <c r="Y33" s="109">
        <f t="shared" si="11"/>
        <v>609.59999999999991</v>
      </c>
      <c r="Z33" s="109">
        <f t="shared" si="12"/>
        <v>266.7</v>
      </c>
      <c r="AA33" s="109">
        <f t="shared" si="13"/>
        <v>304.79999999999995</v>
      </c>
      <c r="AB33" s="109">
        <f t="shared" si="14"/>
        <v>228.6</v>
      </c>
      <c r="AC33" s="7">
        <v>33.78</v>
      </c>
      <c r="AD33" s="110">
        <f>Table1123[[#This Row],[pho (%)]]/100*Table1123[[#This Row],[b (mm)]]*Table1123[[#This Row],[h (mm)]]</f>
        <v>383.22503999999998</v>
      </c>
      <c r="AE33" s="111">
        <v>0.55000000000000004</v>
      </c>
      <c r="AF33" s="110">
        <v>629</v>
      </c>
      <c r="AG33" s="110">
        <f>(1/3-0.21*(MIN(Table1123[[#This Row],[b (mm)]],AA33)/MAX(Table1123[[#This Row],[b (mm)]],AA33))*(MIN(Table1123[[#This Row],[b (mm)]],AA33)^4/(12*MAX(Table1123[[#This Row],[b (mm)]],AA33)^4)))*MAX(Table1123[[#This Row],[b (mm)]],AA33)*MIN(Table1123[[#This Row],[b (mm)]],AA33)^3</f>
        <v>1198609576.1573534</v>
      </c>
      <c r="AH33" s="110">
        <f>Table1123[[#This Row],[b (mm)]]*AA33^3/12</f>
        <v>539435927.57759976</v>
      </c>
      <c r="AI33" s="110">
        <f t="shared" si="15"/>
        <v>1984.375</v>
      </c>
      <c r="AJ33"/>
      <c r="AK33"/>
    </row>
    <row r="34" spans="1:37" x14ac:dyDescent="0.25">
      <c r="A34" s="115" t="s">
        <v>71</v>
      </c>
      <c r="B34" s="109" t="s">
        <v>63</v>
      </c>
      <c r="C34" s="109">
        <v>33</v>
      </c>
      <c r="D34" s="123">
        <f>Table1123[[#This Row],[a (mm)]]/Table1123[[#This Row],[d (mm)]]</f>
        <v>2.2857142857142856</v>
      </c>
      <c r="E34" s="109">
        <v>122.32000000000001</v>
      </c>
      <c r="F34" s="124">
        <f>Table1123[[#This Row],[d (mm)]]</f>
        <v>266.7</v>
      </c>
      <c r="G34" s="109">
        <f t="shared" ref="G34:G53" si="16">E34*Y34</f>
        <v>74566.271999999997</v>
      </c>
      <c r="H34" s="109">
        <f t="shared" ref="H34:H53" si="17">G34/($AK$5*AH34*0.001)</f>
        <v>5.2485565491158536E-6</v>
      </c>
      <c r="I34" s="109">
        <f>G34/(Table1123[[#This Row],[b (mm)]]*Z34^2)</f>
        <v>4.5858534649797951E-3</v>
      </c>
      <c r="J34" s="109">
        <f t="shared" ref="J34:J53" si="18">G34/(AD34*AF34*Z34*0.001)</f>
        <v>1.1598848914170605</v>
      </c>
      <c r="K34" s="109">
        <f t="shared" ref="K34:K53" si="19">E34/($AK$4*AG34*0.001)</f>
        <v>3.2500502905730821E-6</v>
      </c>
      <c r="L34" s="109">
        <f>E34/(Table1123[[#This Row],[b (mm)]]*Z34)</f>
        <v>2.0063108909286606E-3</v>
      </c>
      <c r="M34" s="109">
        <f>Table1123[[#This Row],[M (KN.mm)]]/(Table1123[[#This Row],[b (mm)]]*Table1123[[#This Row],[d (mm)]])</f>
        <v>1.2230471191101113</v>
      </c>
      <c r="N34" s="109">
        <f>Table1123[[#This Row],[M (KN.mm)]]/(Table1123[[#This Row],[b (mm)]]*Table1123[[#This Row],[h (mm)]])</f>
        <v>1.0701662292213476</v>
      </c>
      <c r="O34" s="109">
        <f>Table1123[[#This Row],[M (KN.mm)]]/(Table1123[[#This Row],[b (mm)]]*Table1123[[#This Row],[h (mm)]]*Table1123[[#This Row],[L(mm)]])</f>
        <v>5.39296367481624E-4</v>
      </c>
      <c r="P34" s="109">
        <f>Table1123[[#This Row],[M (KN.mm)]]/(Table1123[[#This Row],[b (mm)]]*Table1123[[#This Row],[d (mm)]]*Table1123[[#This Row],[L(mm)]])</f>
        <v>6.1633870569328443E-4</v>
      </c>
      <c r="Q34" s="109">
        <f>Table1123[[#This Row],[M (KN.mm)]]/(Table1123[[#This Row],[b (mm)]]*Table1123[[#This Row],[h (mm)]]*Table1123[[#This Row],[L(mm)]]*Table1123[[#This Row],[fc (Mpa)]])</f>
        <v>1.5964960553038011E-5</v>
      </c>
      <c r="R34" s="109">
        <f>Table1123[[#This Row],[M (KN.mm)]]/(Table1123[[#This Row],[b (mm)]]*Table1123[[#This Row],[h (mm)]]*Table1123[[#This Row],[L(mm)]]/2)</f>
        <v>1.078592734963248E-3</v>
      </c>
      <c r="S34" s="109">
        <f>Table1123[[#This Row],[M (KN.mm)]]/(Table1123[[#This Row],[a (mm)]]*Table1123[[#This Row],[b (mm)]]*Table1123[[#This Row],[h (mm)]]*Table1123[[#This Row],[L(mm)]]/2)</f>
        <v>1.7693450376693703E-6</v>
      </c>
      <c r="T34" s="123">
        <f>G34/(Table1123[pho (%)]*$AK$5*AH34*0.001)</f>
        <v>9.5428300893015502E-6</v>
      </c>
      <c r="U34" s="109">
        <f>Table1123[[#This Row],[M (KN.mm)]]/(Table1123[[#This Row],[b (mm)]]*Table1123[[#This Row],[d (mm)]]*Table1123[[#This Row],[pho (%)]])</f>
        <v>2.223722034745657</v>
      </c>
      <c r="V34" s="109">
        <f>E34*224.8/(2*SQRT(Table1123[[#This Row],[fc (Mpa)]]*145.037)*Table1123[[#This Row],[b (mm)]]*Table1123[[#This Row],[d (mm)]]*(1/25.4)^2)</f>
        <v>2.0785608760797096</v>
      </c>
      <c r="W34" s="110">
        <f>Table1123[[#This Row],[M (KN.mm)]]/$G$38</f>
        <v>0.625</v>
      </c>
      <c r="X34" s="123">
        <f t="shared" ref="X34:X52" si="20">V34</f>
        <v>2.0785608760797096</v>
      </c>
      <c r="Y34" s="109">
        <f t="shared" si="11"/>
        <v>609.59999999999991</v>
      </c>
      <c r="Z34" s="109">
        <f t="shared" si="12"/>
        <v>266.7</v>
      </c>
      <c r="AA34" s="109">
        <f t="shared" si="13"/>
        <v>304.79999999999995</v>
      </c>
      <c r="AB34" s="109">
        <f t="shared" si="14"/>
        <v>228.6</v>
      </c>
      <c r="AC34" s="7">
        <v>33.78</v>
      </c>
      <c r="AD34" s="110">
        <f>Table1123[[#This Row],[pho (%)]]/100*Table1123[[#This Row],[b (mm)]]*Table1123[[#This Row],[h (mm)]]</f>
        <v>383.22503999999998</v>
      </c>
      <c r="AE34" s="111">
        <v>0.55000000000000004</v>
      </c>
      <c r="AF34" s="110">
        <v>629</v>
      </c>
      <c r="AG34" s="110">
        <f>(1/3-0.21*(MIN(Table1123[[#This Row],[b (mm)]],AA34)/MAX(Table1123[[#This Row],[b (mm)]],AA34))*(MIN(Table1123[[#This Row],[b (mm)]],AA34)^4/(12*MAX(Table1123[[#This Row],[b (mm)]],AA34)^4)))*MAX(Table1123[[#This Row],[b (mm)]],AA34)*MIN(Table1123[[#This Row],[b (mm)]],AA34)^3</f>
        <v>1198609576.1573534</v>
      </c>
      <c r="AH34" s="110">
        <f>Table1123[[#This Row],[b (mm)]]*AA34^3/12</f>
        <v>539435927.57759976</v>
      </c>
      <c r="AI34" s="110">
        <f t="shared" si="15"/>
        <v>1984.375</v>
      </c>
      <c r="AJ34"/>
      <c r="AK34"/>
    </row>
    <row r="35" spans="1:37" x14ac:dyDescent="0.25">
      <c r="A35" s="115" t="s">
        <v>71</v>
      </c>
      <c r="B35" s="109" t="s">
        <v>64</v>
      </c>
      <c r="C35" s="109">
        <v>34</v>
      </c>
      <c r="D35" s="123">
        <f>Table1123[[#This Row],[a (mm)]]/Table1123[[#This Row],[d (mm)]]</f>
        <v>2.2857142857142856</v>
      </c>
      <c r="E35" s="109">
        <v>135.66400000000002</v>
      </c>
      <c r="F35" s="124">
        <f>Table1123[[#This Row],[d (mm)]]</f>
        <v>266.7</v>
      </c>
      <c r="G35" s="109">
        <f t="shared" si="16"/>
        <v>82700.774399999995</v>
      </c>
      <c r="H35" s="109">
        <f t="shared" si="17"/>
        <v>5.8211263544739468E-6</v>
      </c>
      <c r="I35" s="109">
        <f>G35/(Table1123[[#This Row],[b (mm)]]*Z35^2)</f>
        <v>5.0861283884321359E-3</v>
      </c>
      <c r="J35" s="109">
        <f t="shared" si="18"/>
        <v>1.2864177886625581</v>
      </c>
      <c r="K35" s="109">
        <f t="shared" si="19"/>
        <v>3.6046012313628728E-6</v>
      </c>
      <c r="L35" s="109">
        <f>E35/(Table1123[[#This Row],[b (mm)]]*Z35)</f>
        <v>2.2251811699390599E-3</v>
      </c>
      <c r="M35" s="109">
        <f>Table1123[[#This Row],[M (KN.mm)]]/(Table1123[[#This Row],[b (mm)]]*Table1123[[#This Row],[d (mm)]])</f>
        <v>1.3564704411948507</v>
      </c>
      <c r="N35" s="109">
        <f>Table1123[[#This Row],[M (KN.mm)]]/(Table1123[[#This Row],[b (mm)]]*Table1123[[#This Row],[h (mm)]])</f>
        <v>1.1869116360454945</v>
      </c>
      <c r="O35" s="109">
        <f>Table1123[[#This Row],[M (KN.mm)]]/(Table1123[[#This Row],[b (mm)]]*Table1123[[#This Row],[h (mm)]]*Table1123[[#This Row],[L(mm)]])</f>
        <v>5.9812869847961927E-4</v>
      </c>
      <c r="P35" s="109">
        <f>Table1123[[#This Row],[M (KN.mm)]]/(Table1123[[#This Row],[b (mm)]]*Table1123[[#This Row],[d (mm)]]*Table1123[[#This Row],[L(mm)]])</f>
        <v>6.8357565540527905E-4</v>
      </c>
      <c r="Q35" s="109">
        <f>Table1123[[#This Row],[M (KN.mm)]]/(Table1123[[#This Row],[b (mm)]]*Table1123[[#This Row],[h (mm)]]*Table1123[[#This Row],[L(mm)]]*Table1123[[#This Row],[fc (Mpa)]])</f>
        <v>1.7706592613369428E-5</v>
      </c>
      <c r="R35" s="109">
        <f>Table1123[[#This Row],[M (KN.mm)]]/(Table1123[[#This Row],[b (mm)]]*Table1123[[#This Row],[h (mm)]]*Table1123[[#This Row],[L(mm)]]/2)</f>
        <v>1.1962573969592385E-3</v>
      </c>
      <c r="S35" s="109">
        <f>Table1123[[#This Row],[M (KN.mm)]]/(Table1123[[#This Row],[a (mm)]]*Table1123[[#This Row],[b (mm)]]*Table1123[[#This Row],[h (mm)]]*Table1123[[#This Row],[L(mm)]]/2)</f>
        <v>1.9623644963242103E-6</v>
      </c>
      <c r="T35" s="123">
        <f>G35/(Table1123[pho (%)]*$AK$5*AH35*0.001)</f>
        <v>1.0583866099043538E-5</v>
      </c>
      <c r="U35" s="109">
        <f>Table1123[[#This Row],[M (KN.mm)]]/(Table1123[[#This Row],[b (mm)]]*Table1123[[#This Row],[d (mm)]]*Table1123[[#This Row],[pho (%)]])</f>
        <v>2.4663098930815464</v>
      </c>
      <c r="V35" s="109">
        <f>E35*224.8/(2*SQRT(Table1123[[#This Row],[fc (Mpa)]]*145.037)*Table1123[[#This Row],[b (mm)]]*Table1123[[#This Row],[d (mm)]]*(1/25.4)^2)</f>
        <v>2.3053129716520417</v>
      </c>
      <c r="W35" s="110">
        <f>Table1123[[#This Row],[M (KN.mm)]]/$G$38</f>
        <v>0.69318181818181812</v>
      </c>
      <c r="X35" s="123">
        <f t="shared" si="20"/>
        <v>2.3053129716520417</v>
      </c>
      <c r="Y35" s="109">
        <f t="shared" si="11"/>
        <v>609.59999999999991</v>
      </c>
      <c r="Z35" s="109">
        <f t="shared" si="12"/>
        <v>266.7</v>
      </c>
      <c r="AA35" s="109">
        <f t="shared" si="13"/>
        <v>304.79999999999995</v>
      </c>
      <c r="AB35" s="109">
        <f t="shared" si="14"/>
        <v>228.6</v>
      </c>
      <c r="AC35" s="7">
        <v>33.78</v>
      </c>
      <c r="AD35" s="110">
        <f>Table1123[[#This Row],[pho (%)]]/100*Table1123[[#This Row],[b (mm)]]*Table1123[[#This Row],[h (mm)]]</f>
        <v>383.22503999999998</v>
      </c>
      <c r="AE35" s="111">
        <v>0.55000000000000004</v>
      </c>
      <c r="AF35" s="110">
        <v>629</v>
      </c>
      <c r="AG35" s="110">
        <f>(1/3-0.21*(MIN(Table1123[[#This Row],[b (mm)]],AA35)/MAX(Table1123[[#This Row],[b (mm)]],AA35))*(MIN(Table1123[[#This Row],[b (mm)]],AA35)^4/(12*MAX(Table1123[[#This Row],[b (mm)]],AA35)^4)))*MAX(Table1123[[#This Row],[b (mm)]],AA35)*MIN(Table1123[[#This Row],[b (mm)]],AA35)^3</f>
        <v>1198609576.1573534</v>
      </c>
      <c r="AH35" s="110">
        <f>Table1123[[#This Row],[b (mm)]]*AA35^3/12</f>
        <v>539435927.57759976</v>
      </c>
      <c r="AI35" s="110">
        <f t="shared" si="15"/>
        <v>1984.375</v>
      </c>
      <c r="AJ35"/>
      <c r="AK35"/>
    </row>
    <row r="36" spans="1:37" x14ac:dyDescent="0.25">
      <c r="A36" s="115" t="s">
        <v>71</v>
      </c>
      <c r="B36" s="109" t="s">
        <v>65</v>
      </c>
      <c r="C36" s="109">
        <v>35</v>
      </c>
      <c r="D36" s="123">
        <f>Table1123[[#This Row],[a (mm)]]/Table1123[[#This Row],[d (mm)]]</f>
        <v>2.2857142857142856</v>
      </c>
      <c r="E36" s="109">
        <v>158.34880000000001</v>
      </c>
      <c r="F36" s="124">
        <f>Table1123[[#This Row],[d (mm)]]</f>
        <v>266.7</v>
      </c>
      <c r="G36" s="109">
        <f t="shared" si="16"/>
        <v>96529.428479999988</v>
      </c>
      <c r="H36" s="109">
        <f t="shared" si="17"/>
        <v>6.7944950235827046E-6</v>
      </c>
      <c r="I36" s="109">
        <f>G36/(Table1123[[#This Row],[b (mm)]]*Z36^2)</f>
        <v>5.9365957583011157E-3</v>
      </c>
      <c r="J36" s="109">
        <f t="shared" si="18"/>
        <v>1.5015237139799036</v>
      </c>
      <c r="K36" s="109">
        <f t="shared" si="19"/>
        <v>4.2073378307055172E-6</v>
      </c>
      <c r="L36" s="109">
        <f>E36/(Table1123[[#This Row],[b (mm)]]*Z36)</f>
        <v>2.5972606442567388E-3</v>
      </c>
      <c r="M36" s="109">
        <f>Table1123[[#This Row],[M (KN.mm)]]/(Table1123[[#This Row],[b (mm)]]*Table1123[[#This Row],[d (mm)]])</f>
        <v>1.5832900887389076</v>
      </c>
      <c r="N36" s="109">
        <f>Table1123[[#This Row],[M (KN.mm)]]/(Table1123[[#This Row],[b (mm)]]*Table1123[[#This Row],[h (mm)]])</f>
        <v>1.3853788276465444</v>
      </c>
      <c r="O36" s="109">
        <f>Table1123[[#This Row],[M (KN.mm)]]/(Table1123[[#This Row],[b (mm)]]*Table1123[[#This Row],[h (mm)]]*Table1123[[#This Row],[L(mm)]])</f>
        <v>6.9814366117621136E-4</v>
      </c>
      <c r="P36" s="109">
        <f>Table1123[[#This Row],[M (KN.mm)]]/(Table1123[[#This Row],[b (mm)]]*Table1123[[#This Row],[d (mm)]]*Table1123[[#This Row],[L(mm)]])</f>
        <v>7.9787846991566998E-4</v>
      </c>
      <c r="Q36" s="109">
        <f>Table1123[[#This Row],[M (KN.mm)]]/(Table1123[[#This Row],[b (mm)]]*Table1123[[#This Row],[h (mm)]]*Table1123[[#This Row],[L(mm)]]*Table1123[[#This Row],[fc (Mpa)]])</f>
        <v>2.0667367115932838E-5</v>
      </c>
      <c r="R36" s="109">
        <f>Table1123[[#This Row],[M (KN.mm)]]/(Table1123[[#This Row],[b (mm)]]*Table1123[[#This Row],[h (mm)]]*Table1123[[#This Row],[L(mm)]]/2)</f>
        <v>1.3962873223524227E-3</v>
      </c>
      <c r="S36" s="109">
        <f>Table1123[[#This Row],[M (KN.mm)]]/(Table1123[[#This Row],[a (mm)]]*Table1123[[#This Row],[b (mm)]]*Table1123[[#This Row],[h (mm)]]*Table1123[[#This Row],[L(mm)]]/2)</f>
        <v>2.2904975760374389E-6</v>
      </c>
      <c r="T36" s="123">
        <f>G36/(Table1123[pho (%)]*$AK$5*AH36*0.001)</f>
        <v>1.2353627315604915E-5</v>
      </c>
      <c r="U36" s="109">
        <f>Table1123[[#This Row],[M (KN.mm)]]/(Table1123[[#This Row],[b (mm)]]*Table1123[[#This Row],[d (mm)]]*Table1123[[#This Row],[pho (%)]])</f>
        <v>2.878709252252559</v>
      </c>
      <c r="V36" s="109">
        <f>E36*224.8/(2*SQRT(Table1123[[#This Row],[fc (Mpa)]]*145.037)*Table1123[[#This Row],[b (mm)]]*Table1123[[#This Row],[d (mm)]]*(1/25.4)^2)</f>
        <v>2.6907915341250064</v>
      </c>
      <c r="W36" s="110">
        <f>Table1123[[#This Row],[M (KN.mm)]]/$G$38</f>
        <v>0.80909090909090897</v>
      </c>
      <c r="X36" s="123">
        <f t="shared" si="20"/>
        <v>2.6907915341250064</v>
      </c>
      <c r="Y36" s="109">
        <f t="shared" si="11"/>
        <v>609.59999999999991</v>
      </c>
      <c r="Z36" s="109">
        <f t="shared" si="12"/>
        <v>266.7</v>
      </c>
      <c r="AA36" s="109">
        <f t="shared" si="13"/>
        <v>304.79999999999995</v>
      </c>
      <c r="AB36" s="109">
        <f t="shared" si="14"/>
        <v>228.6</v>
      </c>
      <c r="AC36" s="7">
        <v>33.78</v>
      </c>
      <c r="AD36" s="110">
        <f>Table1123[[#This Row],[pho (%)]]/100*Table1123[[#This Row],[b (mm)]]*Table1123[[#This Row],[h (mm)]]</f>
        <v>383.22503999999998</v>
      </c>
      <c r="AE36" s="111">
        <v>0.55000000000000004</v>
      </c>
      <c r="AF36" s="110">
        <v>629</v>
      </c>
      <c r="AG36" s="110">
        <f>(1/3-0.21*(MIN(Table1123[[#This Row],[b (mm)]],AA36)/MAX(Table1123[[#This Row],[b (mm)]],AA36))*(MIN(Table1123[[#This Row],[b (mm)]],AA36)^4/(12*MAX(Table1123[[#This Row],[b (mm)]],AA36)^4)))*MAX(Table1123[[#This Row],[b (mm)]],AA36)*MIN(Table1123[[#This Row],[b (mm)]],AA36)^3</f>
        <v>1198609576.1573534</v>
      </c>
      <c r="AH36" s="110">
        <f>Table1123[[#This Row],[b (mm)]]*AA36^3/12</f>
        <v>539435927.57759976</v>
      </c>
      <c r="AI36" s="110">
        <f t="shared" si="15"/>
        <v>1984.375</v>
      </c>
      <c r="AJ36"/>
      <c r="AK36"/>
    </row>
    <row r="37" spans="1:37" x14ac:dyDescent="0.25">
      <c r="A37" s="115" t="s">
        <v>71</v>
      </c>
      <c r="B37" s="109" t="s">
        <v>66</v>
      </c>
      <c r="C37" s="109">
        <v>36</v>
      </c>
      <c r="D37" s="123">
        <f>Table1123[[#This Row],[a (mm)]]/Table1123[[#This Row],[d (mm)]]</f>
        <v>2.2857142857142856</v>
      </c>
      <c r="E37" s="109">
        <v>180.58880000000002</v>
      </c>
      <c r="F37" s="124">
        <f>Table1123[[#This Row],[d (mm)]]</f>
        <v>266.7</v>
      </c>
      <c r="G37" s="109">
        <f t="shared" si="16"/>
        <v>110086.93248</v>
      </c>
      <c r="H37" s="109">
        <f t="shared" si="17"/>
        <v>7.7487780325128608E-6</v>
      </c>
      <c r="I37" s="109">
        <f>G37/(Table1123[[#This Row],[b (mm)]]*Z37^2)</f>
        <v>6.7703872973883519E-3</v>
      </c>
      <c r="J37" s="109">
        <f t="shared" si="18"/>
        <v>1.7124118760557332</v>
      </c>
      <c r="K37" s="109">
        <f t="shared" si="19"/>
        <v>4.798256065355169E-6</v>
      </c>
      <c r="L37" s="109">
        <f>E37/(Table1123[[#This Row],[b (mm)]]*Z37)</f>
        <v>2.9620444426074043E-3</v>
      </c>
      <c r="M37" s="109">
        <f>Table1123[[#This Row],[M (KN.mm)]]/(Table1123[[#This Row],[b (mm)]]*Table1123[[#This Row],[d (mm)]])</f>
        <v>1.8056622922134735</v>
      </c>
      <c r="N37" s="109">
        <f>Table1123[[#This Row],[M (KN.mm)]]/(Table1123[[#This Row],[b (mm)]]*Table1123[[#This Row],[h (mm)]])</f>
        <v>1.5799545056867896</v>
      </c>
      <c r="O37" s="109">
        <f>Table1123[[#This Row],[M (KN.mm)]]/(Table1123[[#This Row],[b (mm)]]*Table1123[[#This Row],[h (mm)]]*Table1123[[#This Row],[L(mm)]])</f>
        <v>7.9619754617287028E-4</v>
      </c>
      <c r="P37" s="109">
        <f>Table1123[[#This Row],[M (KN.mm)]]/(Table1123[[#This Row],[b (mm)]]*Table1123[[#This Row],[d (mm)]]*Table1123[[#This Row],[L(mm)]])</f>
        <v>9.0994005276899461E-4</v>
      </c>
      <c r="Q37" s="109">
        <f>Table1123[[#This Row],[M (KN.mm)]]/(Table1123[[#This Row],[b (mm)]]*Table1123[[#This Row],[h (mm)]]*Table1123[[#This Row],[L(mm)]]*Table1123[[#This Row],[fc (Mpa)]])</f>
        <v>2.3570087216485207E-5</v>
      </c>
      <c r="R37" s="109">
        <f>Table1123[[#This Row],[M (KN.mm)]]/(Table1123[[#This Row],[b (mm)]]*Table1123[[#This Row],[h (mm)]]*Table1123[[#This Row],[L(mm)]]/2)</f>
        <v>1.5923950923457406E-3</v>
      </c>
      <c r="S37" s="109">
        <f>Table1123[[#This Row],[M (KN.mm)]]/(Table1123[[#This Row],[a (mm)]]*Table1123[[#This Row],[b (mm)]]*Table1123[[#This Row],[h (mm)]]*Table1123[[#This Row],[L(mm)]]/2)</f>
        <v>2.6121966737955065E-6</v>
      </c>
      <c r="T37" s="123">
        <f>G37/(Table1123[pho (%)]*$AK$5*AH37*0.001)</f>
        <v>1.4088687331841563E-5</v>
      </c>
      <c r="U37" s="109">
        <f>Table1123[[#This Row],[M (KN.mm)]]/(Table1123[[#This Row],[b (mm)]]*Table1123[[#This Row],[d (mm)]]*Table1123[[#This Row],[pho (%)]])</f>
        <v>3.2830223494790425</v>
      </c>
      <c r="V37" s="109">
        <f>E37*224.8/(2*SQRT(Table1123[[#This Row],[fc (Mpa)]]*145.037)*Table1123[[#This Row],[b (mm)]]*Table1123[[#This Row],[d (mm)]]*(1/25.4)^2)</f>
        <v>3.0687116934122263</v>
      </c>
      <c r="W37" s="110">
        <f>Table1123[[#This Row],[M (KN.mm)]]/$G$38</f>
        <v>0.92272727272727273</v>
      </c>
      <c r="X37" s="123">
        <f t="shared" si="20"/>
        <v>3.0687116934122263</v>
      </c>
      <c r="Y37" s="109">
        <f t="shared" si="11"/>
        <v>609.59999999999991</v>
      </c>
      <c r="Z37" s="109">
        <f t="shared" si="12"/>
        <v>266.7</v>
      </c>
      <c r="AA37" s="109">
        <f t="shared" si="13"/>
        <v>304.79999999999995</v>
      </c>
      <c r="AB37" s="109">
        <f t="shared" si="14"/>
        <v>228.6</v>
      </c>
      <c r="AC37" s="7">
        <v>33.78</v>
      </c>
      <c r="AD37" s="110">
        <f>Table1123[[#This Row],[pho (%)]]/100*Table1123[[#This Row],[b (mm)]]*Table1123[[#This Row],[h (mm)]]</f>
        <v>383.22503999999998</v>
      </c>
      <c r="AE37" s="111">
        <v>0.55000000000000004</v>
      </c>
      <c r="AF37" s="110">
        <v>629</v>
      </c>
      <c r="AG37" s="110">
        <f>(1/3-0.21*(MIN(Table1123[[#This Row],[b (mm)]],AA37)/MAX(Table1123[[#This Row],[b (mm)]],AA37))*(MIN(Table1123[[#This Row],[b (mm)]],AA37)^4/(12*MAX(Table1123[[#This Row],[b (mm)]],AA37)^4)))*MAX(Table1123[[#This Row],[b (mm)]],AA37)*MIN(Table1123[[#This Row],[b (mm)]],AA37)^3</f>
        <v>1198609576.1573534</v>
      </c>
      <c r="AH37" s="110">
        <f>Table1123[[#This Row],[b (mm)]]*AA37^3/12</f>
        <v>539435927.57759976</v>
      </c>
      <c r="AI37" s="110">
        <f t="shared" si="15"/>
        <v>1984.375</v>
      </c>
      <c r="AJ37"/>
      <c r="AK37"/>
    </row>
    <row r="38" spans="1:37" x14ac:dyDescent="0.25">
      <c r="A38" s="116" t="s">
        <v>71</v>
      </c>
      <c r="B38" s="109" t="s">
        <v>67</v>
      </c>
      <c r="C38" s="109">
        <v>37</v>
      </c>
      <c r="D38" s="123">
        <f>Table1123[[#This Row],[a (mm)]]/Table1123[[#This Row],[d (mm)]]</f>
        <v>2.2857142857142856</v>
      </c>
      <c r="E38" s="109">
        <v>195.71200000000002</v>
      </c>
      <c r="F38" s="124">
        <f>Table1123[[#This Row],[d (mm)]]</f>
        <v>266.7</v>
      </c>
      <c r="G38" s="109">
        <f t="shared" si="16"/>
        <v>119306.0352</v>
      </c>
      <c r="H38" s="109">
        <f t="shared" si="17"/>
        <v>8.3976904785853655E-6</v>
      </c>
      <c r="I38" s="109">
        <f>G38/(Table1123[[#This Row],[b (mm)]]*Z38^2)</f>
        <v>7.3373655439676723E-3</v>
      </c>
      <c r="J38" s="109">
        <f t="shared" si="18"/>
        <v>1.8558158262672968</v>
      </c>
      <c r="K38" s="109">
        <f t="shared" si="19"/>
        <v>5.2000804649169316E-6</v>
      </c>
      <c r="L38" s="109">
        <f>E38/(Table1123[[#This Row],[b (mm)]]*Z38)</f>
        <v>3.2100974254858569E-3</v>
      </c>
      <c r="M38" s="109">
        <f>Table1123[[#This Row],[M (KN.mm)]]/(Table1123[[#This Row],[b (mm)]]*Table1123[[#This Row],[d (mm)]])</f>
        <v>1.9568753905761782</v>
      </c>
      <c r="N38" s="109">
        <f>Table1123[[#This Row],[M (KN.mm)]]/(Table1123[[#This Row],[b (mm)]]*Table1123[[#This Row],[h (mm)]])</f>
        <v>1.712265966754156</v>
      </c>
      <c r="O38" s="109">
        <f>Table1123[[#This Row],[M (KN.mm)]]/(Table1123[[#This Row],[b (mm)]]*Table1123[[#This Row],[h (mm)]]*Table1123[[#This Row],[L(mm)]])</f>
        <v>8.6287418797059831E-4</v>
      </c>
      <c r="P38" s="109">
        <f>Table1123[[#This Row],[M (KN.mm)]]/(Table1123[[#This Row],[b (mm)]]*Table1123[[#This Row],[d (mm)]]*Table1123[[#This Row],[L(mm)]])</f>
        <v>9.8614192910925508E-4</v>
      </c>
      <c r="Q38" s="109">
        <f>Table1123[[#This Row],[M (KN.mm)]]/(Table1123[[#This Row],[b (mm)]]*Table1123[[#This Row],[h (mm)]]*Table1123[[#This Row],[L(mm)]]*Table1123[[#This Row],[fc (Mpa)]])</f>
        <v>2.5543936884860815E-5</v>
      </c>
      <c r="R38" s="109">
        <f>Table1123[[#This Row],[M (KN.mm)]]/(Table1123[[#This Row],[b (mm)]]*Table1123[[#This Row],[h (mm)]]*Table1123[[#This Row],[L(mm)]]/2)</f>
        <v>1.7257483759411966E-3</v>
      </c>
      <c r="S38" s="109">
        <f>Table1123[[#This Row],[M (KN.mm)]]/(Table1123[[#This Row],[a (mm)]]*Table1123[[#This Row],[b (mm)]]*Table1123[[#This Row],[h (mm)]]*Table1123[[#This Row],[L(mm)]]/2)</f>
        <v>2.8309520602709923E-6</v>
      </c>
      <c r="T38" s="123">
        <f>G38/(Table1123[pho (%)]*$AK$5*AH38*0.001)</f>
        <v>1.5268528142882482E-5</v>
      </c>
      <c r="U38" s="109">
        <f>Table1123[[#This Row],[M (KN.mm)]]/(Table1123[[#This Row],[b (mm)]]*Table1123[[#This Row],[d (mm)]]*Table1123[[#This Row],[pho (%)]])</f>
        <v>3.5579552555930509</v>
      </c>
      <c r="V38" s="109">
        <f>E38*224.8/(2*SQRT(Table1123[[#This Row],[fc (Mpa)]]*145.037)*Table1123[[#This Row],[b (mm)]]*Table1123[[#This Row],[d (mm)]]*(1/25.4)^2)</f>
        <v>3.3256974017275356</v>
      </c>
      <c r="W38" s="110">
        <f>Table1123[[#This Row],[M (KN.mm)]]/$G$38</f>
        <v>1</v>
      </c>
      <c r="X38" s="123">
        <f t="shared" si="20"/>
        <v>3.3256974017275356</v>
      </c>
      <c r="Y38" s="109">
        <f t="shared" si="11"/>
        <v>609.59999999999991</v>
      </c>
      <c r="Z38" s="109">
        <f t="shared" si="12"/>
        <v>266.7</v>
      </c>
      <c r="AA38" s="109">
        <f t="shared" si="13"/>
        <v>304.79999999999995</v>
      </c>
      <c r="AB38" s="109">
        <f t="shared" si="14"/>
        <v>228.6</v>
      </c>
      <c r="AC38" s="7">
        <v>33.78</v>
      </c>
      <c r="AD38" s="110">
        <f>Table1123[[#This Row],[pho (%)]]/100*Table1123[[#This Row],[b (mm)]]*Table1123[[#This Row],[h (mm)]]</f>
        <v>383.22503999999998</v>
      </c>
      <c r="AE38" s="111">
        <v>0.55000000000000004</v>
      </c>
      <c r="AF38" s="110">
        <v>629</v>
      </c>
      <c r="AG38" s="110">
        <f>(1/3-0.21*(MIN(Table1123[[#This Row],[b (mm)]],AA38)/MAX(Table1123[[#This Row],[b (mm)]],AA38))*(MIN(Table1123[[#This Row],[b (mm)]],AA38)^4/(12*MAX(Table1123[[#This Row],[b (mm)]],AA38)^4)))*MAX(Table1123[[#This Row],[b (mm)]],AA38)*MIN(Table1123[[#This Row],[b (mm)]],AA38)^3</f>
        <v>1198609576.1573534</v>
      </c>
      <c r="AH38" s="110">
        <f>Table1123[[#This Row],[b (mm)]]*AA38^3/12</f>
        <v>539435927.57759976</v>
      </c>
      <c r="AI38" s="110">
        <f t="shared" si="15"/>
        <v>1984.375</v>
      </c>
      <c r="AJ38"/>
      <c r="AK38"/>
    </row>
    <row r="39" spans="1:37" x14ac:dyDescent="0.25">
      <c r="A39" s="117" t="s">
        <v>72</v>
      </c>
      <c r="B39" s="109" t="s">
        <v>60</v>
      </c>
      <c r="C39" s="109">
        <v>38</v>
      </c>
      <c r="D39" s="123">
        <f>Table1123[[#This Row],[a (mm)]]/Table1123[[#This Row],[d (mm)]]</f>
        <v>2.2857142857142856</v>
      </c>
      <c r="E39" s="109">
        <v>81.398400000000009</v>
      </c>
      <c r="F39" s="124">
        <f>Table1123[[#This Row],[d (mm)]]</f>
        <v>266.7</v>
      </c>
      <c r="G39" s="109">
        <f t="shared" si="16"/>
        <v>49620.464639999998</v>
      </c>
      <c r="H39" s="109">
        <f t="shared" si="17"/>
        <v>3.4926758126843683E-6</v>
      </c>
      <c r="I39" s="109">
        <f>G39/(Table1123[[#This Row],[b (mm)]]*Z39^2)</f>
        <v>3.0516770330592815E-3</v>
      </c>
      <c r="J39" s="109">
        <f t="shared" si="18"/>
        <v>0.77185067319753486</v>
      </c>
      <c r="K39" s="109">
        <f t="shared" si="19"/>
        <v>2.1627607388177239E-6</v>
      </c>
      <c r="L39" s="109">
        <f>E39/(Table1123[[#This Row],[b (mm)]]*Z39)</f>
        <v>1.3351087019634359E-3</v>
      </c>
      <c r="M39" s="109">
        <f>Table1123[[#This Row],[M (KN.mm)]]/(Table1123[[#This Row],[b (mm)]]*Table1123[[#This Row],[d (mm)]])</f>
        <v>0.81388226471691039</v>
      </c>
      <c r="N39" s="109">
        <f>Table1123[[#This Row],[M (KN.mm)]]/(Table1123[[#This Row],[b (mm)]]*Table1123[[#This Row],[h (mm)]])</f>
        <v>0.71214698162729673</v>
      </c>
      <c r="O39" s="109">
        <f>Table1123[[#This Row],[M (KN.mm)]]/(Table1123[[#This Row],[b (mm)]]*Table1123[[#This Row],[h (mm)]]*Table1123[[#This Row],[L(mm)]])</f>
        <v>3.5887721908777159E-4</v>
      </c>
      <c r="P39" s="109">
        <f>Table1123[[#This Row],[M (KN.mm)]]/(Table1123[[#This Row],[b (mm)]]*Table1123[[#This Row],[d (mm)]]*Table1123[[#This Row],[L(mm)]])</f>
        <v>4.1014539324316746E-4</v>
      </c>
      <c r="Q39" s="109">
        <f>Table1123[[#This Row],[M (KN.mm)]]/(Table1123[[#This Row],[b (mm)]]*Table1123[[#This Row],[h (mm)]]*Table1123[[#This Row],[L(mm)]]*Table1123[[#This Row],[fc (Mpa)]])</f>
        <v>1.1076457379252209E-5</v>
      </c>
      <c r="R39" s="109">
        <f>Table1123[[#This Row],[M (KN.mm)]]/(Table1123[[#This Row],[b (mm)]]*Table1123[[#This Row],[h (mm)]]*Table1123[[#This Row],[L(mm)]]/2)</f>
        <v>7.1775443817554318E-4</v>
      </c>
      <c r="S39" s="109">
        <f>Table1123[[#This Row],[M (KN.mm)]]/(Table1123[[#This Row],[a (mm)]]*Table1123[[#This Row],[b (mm)]]*Table1123[[#This Row],[h (mm)]]*Table1123[[#This Row],[L(mm)]]/2)</f>
        <v>1.1774186977945263E-6</v>
      </c>
      <c r="T39" s="123">
        <f>G39/(Table1123[pho (%)]*$AK$5*AH39*0.001)</f>
        <v>6.3503196594261231E-6</v>
      </c>
      <c r="U39" s="109">
        <f>Table1123[[#This Row],[M (KN.mm)]]/(Table1123[[#This Row],[b (mm)]]*Table1123[[#This Row],[d (mm)]]*Table1123[[#This Row],[pho (%)]])</f>
        <v>1.479785935848928</v>
      </c>
      <c r="V39" s="109">
        <f>E39*224.8/(2*SQRT(Table1123[[#This Row],[fc (Mpa)]]*145.037)*Table1123[[#This Row],[b (mm)]]*Table1123[[#This Row],[d (mm)]]*(1/25.4)^2)</f>
        <v>1.4123374068452184</v>
      </c>
      <c r="W39" s="110">
        <f>Table1123[[#This Row],[M (KN.mm)]]/$G$45</f>
        <v>0.46923076923076928</v>
      </c>
      <c r="X39" s="123">
        <f t="shared" si="20"/>
        <v>1.4123374068452184</v>
      </c>
      <c r="Y39" s="109">
        <f t="shared" si="11"/>
        <v>609.59999999999991</v>
      </c>
      <c r="Z39" s="109">
        <f t="shared" si="12"/>
        <v>266.7</v>
      </c>
      <c r="AA39" s="109">
        <f t="shared" si="13"/>
        <v>304.79999999999995</v>
      </c>
      <c r="AB39" s="109">
        <f t="shared" si="14"/>
        <v>228.6</v>
      </c>
      <c r="AC39" s="7">
        <v>32.4</v>
      </c>
      <c r="AD39" s="110">
        <f>Table1123[[#This Row],[pho (%)]]/100*Table1123[[#This Row],[b (mm)]]*Table1123[[#This Row],[h (mm)]]</f>
        <v>383.22503999999998</v>
      </c>
      <c r="AE39" s="111">
        <v>0.55000000000000004</v>
      </c>
      <c r="AF39" s="110">
        <v>629</v>
      </c>
      <c r="AG39" s="110">
        <f>(1/3-0.21*(MIN(Table1123[[#This Row],[b (mm)]],AA39)/MAX(Table1123[[#This Row],[b (mm)]],AA39))*(MIN(Table1123[[#This Row],[b (mm)]],AA39)^4/(12*MAX(Table1123[[#This Row],[b (mm)]],AA39)^4)))*MAX(Table1123[[#This Row],[b (mm)]],AA39)*MIN(Table1123[[#This Row],[b (mm)]],AA39)^3</f>
        <v>1198609576.1573534</v>
      </c>
      <c r="AH39" s="110">
        <f>Table1123[[#This Row],[b (mm)]]*AA39^3/12</f>
        <v>539435927.57759976</v>
      </c>
      <c r="AI39" s="110">
        <f t="shared" si="15"/>
        <v>1984.375</v>
      </c>
      <c r="AJ39"/>
      <c r="AK39"/>
    </row>
    <row r="40" spans="1:37" x14ac:dyDescent="0.25">
      <c r="A40" s="117" t="s">
        <v>72</v>
      </c>
      <c r="B40" s="109" t="s">
        <v>61</v>
      </c>
      <c r="C40" s="109">
        <v>39</v>
      </c>
      <c r="D40" s="123">
        <f>Table1123[[#This Row],[a (mm)]]/Table1123[[#This Row],[d (mm)]]</f>
        <v>2.2857142857142856</v>
      </c>
      <c r="E40" s="109">
        <v>94.742400000000018</v>
      </c>
      <c r="F40" s="124">
        <f>Table1123[[#This Row],[d (mm)]]</f>
        <v>266.7</v>
      </c>
      <c r="G40" s="109">
        <f t="shared" si="16"/>
        <v>57754.967040000003</v>
      </c>
      <c r="H40" s="109">
        <f t="shared" si="17"/>
        <v>4.0652456180424615E-6</v>
      </c>
      <c r="I40" s="109">
        <f>G40/(Table1123[[#This Row],[b (mm)]]*Z40^2)</f>
        <v>3.5519519565116232E-3</v>
      </c>
      <c r="J40" s="109">
        <f t="shared" si="18"/>
        <v>0.89838357044303241</v>
      </c>
      <c r="K40" s="109">
        <f t="shared" si="19"/>
        <v>2.5173116796075146E-6</v>
      </c>
      <c r="L40" s="109">
        <f>E40/(Table1123[[#This Row],[b (mm)]]*Z40)</f>
        <v>1.5539789809738353E-3</v>
      </c>
      <c r="M40" s="109">
        <f>Table1123[[#This Row],[M (KN.mm)]]/(Table1123[[#This Row],[b (mm)]]*Table1123[[#This Row],[d (mm)]])</f>
        <v>0.94730558680164989</v>
      </c>
      <c r="N40" s="109">
        <f>Table1123[[#This Row],[M (KN.mm)]]/(Table1123[[#This Row],[b (mm)]]*Table1123[[#This Row],[h (mm)]])</f>
        <v>0.82889238845144375</v>
      </c>
      <c r="O40" s="109">
        <f>Table1123[[#This Row],[M (KN.mm)]]/(Table1123[[#This Row],[b (mm)]]*Table1123[[#This Row],[h (mm)]]*Table1123[[#This Row],[L(mm)]])</f>
        <v>4.1770955008576697E-4</v>
      </c>
      <c r="P40" s="109">
        <f>Table1123[[#This Row],[M (KN.mm)]]/(Table1123[[#This Row],[b (mm)]]*Table1123[[#This Row],[d (mm)]]*Table1123[[#This Row],[L(mm)]])</f>
        <v>4.773823429551622E-4</v>
      </c>
      <c r="Q40" s="109">
        <f>Table1123[[#This Row],[M (KN.mm)]]/(Table1123[[#This Row],[b (mm)]]*Table1123[[#This Row],[h (mm)]]*Table1123[[#This Row],[L(mm)]]*Table1123[[#This Row],[fc (Mpa)]])</f>
        <v>1.2892270064375524E-5</v>
      </c>
      <c r="R40" s="109">
        <f>Table1123[[#This Row],[M (KN.mm)]]/(Table1123[[#This Row],[b (mm)]]*Table1123[[#This Row],[h (mm)]]*Table1123[[#This Row],[L(mm)]]/2)</f>
        <v>8.3541910017153394E-4</v>
      </c>
      <c r="S40" s="109">
        <f>Table1123[[#This Row],[M (KN.mm)]]/(Table1123[[#This Row],[a (mm)]]*Table1123[[#This Row],[b (mm)]]*Table1123[[#This Row],[h (mm)]]*Table1123[[#This Row],[L(mm)]]/2)</f>
        <v>1.3704381564493668E-6</v>
      </c>
      <c r="T40" s="123">
        <f>G40/(Table1123[pho (%)]*$AK$5*AH40*0.001)</f>
        <v>7.3913556691681107E-6</v>
      </c>
      <c r="U40" s="109">
        <f>Table1123[[#This Row],[M (KN.mm)]]/(Table1123[[#This Row],[b (mm)]]*Table1123[[#This Row],[d (mm)]]*Table1123[[#This Row],[pho (%)]])</f>
        <v>1.7223737941848181</v>
      </c>
      <c r="V40" s="109">
        <f>E40*224.8/(2*SQRT(Table1123[[#This Row],[fc (Mpa)]]*145.037)*Table1123[[#This Row],[b (mm)]]*Table1123[[#This Row],[d (mm)]]*(1/25.4)^2)</f>
        <v>1.6438681292788608</v>
      </c>
      <c r="W40" s="110">
        <f>Table1123[[#This Row],[M (KN.mm)]]/$G$45</f>
        <v>0.54615384615384632</v>
      </c>
      <c r="X40" s="123">
        <f t="shared" si="20"/>
        <v>1.6438681292788608</v>
      </c>
      <c r="Y40" s="109">
        <f t="shared" si="11"/>
        <v>609.59999999999991</v>
      </c>
      <c r="Z40" s="109">
        <f t="shared" si="12"/>
        <v>266.7</v>
      </c>
      <c r="AA40" s="109">
        <f t="shared" si="13"/>
        <v>304.79999999999995</v>
      </c>
      <c r="AB40" s="109">
        <f t="shared" si="14"/>
        <v>228.6</v>
      </c>
      <c r="AC40" s="7">
        <v>32.4</v>
      </c>
      <c r="AD40" s="110">
        <f>Table1123[[#This Row],[pho (%)]]/100*Table1123[[#This Row],[b (mm)]]*Table1123[[#This Row],[h (mm)]]</f>
        <v>383.22503999999998</v>
      </c>
      <c r="AE40" s="111">
        <v>0.55000000000000004</v>
      </c>
      <c r="AF40" s="110">
        <v>629</v>
      </c>
      <c r="AG40" s="110">
        <f>(1/3-0.21*(MIN(Table1123[[#This Row],[b (mm)]],AA40)/MAX(Table1123[[#This Row],[b (mm)]],AA40))*(MIN(Table1123[[#This Row],[b (mm)]],AA40)^4/(12*MAX(Table1123[[#This Row],[b (mm)]],AA40)^4)))*MAX(Table1123[[#This Row],[b (mm)]],AA40)*MIN(Table1123[[#This Row],[b (mm)]],AA40)^3</f>
        <v>1198609576.1573534</v>
      </c>
      <c r="AH40" s="110">
        <f>Table1123[[#This Row],[b (mm)]]*AA40^3/12</f>
        <v>539435927.57759976</v>
      </c>
      <c r="AI40" s="110">
        <f t="shared" si="15"/>
        <v>1984.375</v>
      </c>
      <c r="AJ40"/>
      <c r="AK40"/>
    </row>
    <row r="41" spans="1:37" x14ac:dyDescent="0.25">
      <c r="A41" s="117" t="s">
        <v>72</v>
      </c>
      <c r="B41" s="109" t="s">
        <v>62</v>
      </c>
      <c r="C41" s="109">
        <v>40</v>
      </c>
      <c r="D41" s="123">
        <f>Table1123[[#This Row],[a (mm)]]/Table1123[[#This Row],[d (mm)]]</f>
        <v>2.2857142857142856</v>
      </c>
      <c r="E41" s="109">
        <v>108.5312</v>
      </c>
      <c r="F41" s="124">
        <f>Table1123[[#This Row],[d (mm)]]</f>
        <v>266.7</v>
      </c>
      <c r="G41" s="109">
        <f t="shared" si="16"/>
        <v>66160.619519999993</v>
      </c>
      <c r="H41" s="109">
        <f t="shared" si="17"/>
        <v>4.6569010835791571E-6</v>
      </c>
      <c r="I41" s="109">
        <f>G41/(Table1123[[#This Row],[b (mm)]]*Z41^2)</f>
        <v>4.0689027107457089E-3</v>
      </c>
      <c r="J41" s="109">
        <f t="shared" si="18"/>
        <v>1.0154124411843122</v>
      </c>
      <c r="K41" s="109">
        <f t="shared" si="19"/>
        <v>2.8836809850902979E-6</v>
      </c>
      <c r="L41" s="109">
        <f>E41/(Table1123[[#This Row],[b (mm)]]*Z41)</f>
        <v>1.7801449359512477E-3</v>
      </c>
      <c r="M41" s="109">
        <f>Table1123[[#This Row],[M (KN.mm)]]/(Table1123[[#This Row],[b (mm)]]*Table1123[[#This Row],[d (mm)]])</f>
        <v>1.0851763529558804</v>
      </c>
      <c r="N41" s="109">
        <f>Table1123[[#This Row],[M (KN.mm)]]/(Table1123[[#This Row],[b (mm)]]*Table1123[[#This Row],[h (mm)]])</f>
        <v>0.94952930883639552</v>
      </c>
      <c r="O41" s="109">
        <f>Table1123[[#This Row],[M (KN.mm)]]/(Table1123[[#This Row],[b (mm)]]*Table1123[[#This Row],[h (mm)]]*Table1123[[#This Row],[L(mm)]])</f>
        <v>4.785029587836954E-4</v>
      </c>
      <c r="P41" s="109">
        <f>Table1123[[#This Row],[M (KN.mm)]]/(Table1123[[#This Row],[b (mm)]]*Table1123[[#This Row],[d (mm)]]*Table1123[[#This Row],[L(mm)]])</f>
        <v>5.4686052432422329E-4</v>
      </c>
      <c r="Q41" s="109">
        <f>Table1123[[#This Row],[M (KN.mm)]]/(Table1123[[#This Row],[b (mm)]]*Table1123[[#This Row],[h (mm)]]*Table1123[[#This Row],[L(mm)]]*Table1123[[#This Row],[fc (Mpa)]])</f>
        <v>1.4768609839002944E-5</v>
      </c>
      <c r="R41" s="109">
        <f>Table1123[[#This Row],[M (KN.mm)]]/(Table1123[[#This Row],[b (mm)]]*Table1123[[#This Row],[h (mm)]]*Table1123[[#This Row],[L(mm)]]/2)</f>
        <v>9.570059175673908E-4</v>
      </c>
      <c r="S41" s="109">
        <f>Table1123[[#This Row],[M (KN.mm)]]/(Table1123[[#This Row],[a (mm)]]*Table1123[[#This Row],[b (mm)]]*Table1123[[#This Row],[h (mm)]]*Table1123[[#This Row],[L(mm)]]/2)</f>
        <v>1.5698915970593682E-6</v>
      </c>
      <c r="T41" s="123">
        <f>G41/(Table1123[pho (%)]*$AK$5*AH41*0.001)</f>
        <v>8.4670928792348296E-6</v>
      </c>
      <c r="U41" s="109">
        <f>Table1123[[#This Row],[M (KN.mm)]]/(Table1123[[#This Row],[b (mm)]]*Table1123[[#This Row],[d (mm)]]*Table1123[[#This Row],[pho (%)]])</f>
        <v>1.9730479144652371</v>
      </c>
      <c r="V41" s="109">
        <f>E41*224.8/(2*SQRT(Table1123[[#This Row],[fc (Mpa)]]*145.037)*Table1123[[#This Row],[b (mm)]]*Table1123[[#This Row],[d (mm)]]*(1/25.4)^2)</f>
        <v>1.8831165424602909</v>
      </c>
      <c r="W41" s="110">
        <f>Table1123[[#This Row],[M (KN.mm)]]/$G$45</f>
        <v>0.62564102564102564</v>
      </c>
      <c r="X41" s="123">
        <f t="shared" si="20"/>
        <v>1.8831165424602909</v>
      </c>
      <c r="Y41" s="109">
        <f t="shared" si="11"/>
        <v>609.59999999999991</v>
      </c>
      <c r="Z41" s="109">
        <f t="shared" si="12"/>
        <v>266.7</v>
      </c>
      <c r="AA41" s="109">
        <f t="shared" si="13"/>
        <v>304.79999999999995</v>
      </c>
      <c r="AB41" s="109">
        <f t="shared" si="14"/>
        <v>228.6</v>
      </c>
      <c r="AC41" s="7">
        <v>32.4</v>
      </c>
      <c r="AD41" s="110">
        <f>Table1123[[#This Row],[pho (%)]]/100*Table1123[[#This Row],[b (mm)]]*Table1123[[#This Row],[h (mm)]]</f>
        <v>383.22503999999998</v>
      </c>
      <c r="AE41" s="111">
        <v>0.55000000000000004</v>
      </c>
      <c r="AF41" s="110">
        <v>637.5</v>
      </c>
      <c r="AG41" s="110">
        <f>(1/3-0.21*(MIN(Table1123[[#This Row],[b (mm)]],AA41)/MAX(Table1123[[#This Row],[b (mm)]],AA41))*(MIN(Table1123[[#This Row],[b (mm)]],AA41)^4/(12*MAX(Table1123[[#This Row],[b (mm)]],AA41)^4)))*MAX(Table1123[[#This Row],[b (mm)]],AA41)*MIN(Table1123[[#This Row],[b (mm)]],AA41)^3</f>
        <v>1198609576.1573534</v>
      </c>
      <c r="AH41" s="110">
        <f>Table1123[[#This Row],[b (mm)]]*AA41^3/12</f>
        <v>539435927.57759976</v>
      </c>
      <c r="AI41" s="110">
        <f t="shared" si="15"/>
        <v>1984.375</v>
      </c>
      <c r="AJ41"/>
      <c r="AK41"/>
    </row>
    <row r="42" spans="1:37" x14ac:dyDescent="0.25">
      <c r="A42" s="117" t="s">
        <v>72</v>
      </c>
      <c r="B42" s="109" t="s">
        <v>63</v>
      </c>
      <c r="C42" s="109">
        <v>41</v>
      </c>
      <c r="D42" s="123">
        <f>Table1123[[#This Row],[a (mm)]]/Table1123[[#This Row],[d (mm)]]</f>
        <v>2.2857142857142856</v>
      </c>
      <c r="E42" s="109">
        <v>121.87520000000001</v>
      </c>
      <c r="F42" s="124">
        <f>Table1123[[#This Row],[d (mm)]]</f>
        <v>266.7</v>
      </c>
      <c r="G42" s="109">
        <f t="shared" si="16"/>
        <v>74295.12191999999</v>
      </c>
      <c r="H42" s="109">
        <f t="shared" si="17"/>
        <v>5.2294708889372504E-6</v>
      </c>
      <c r="I42" s="109">
        <f>G42/(Table1123[[#This Row],[b (mm)]]*Z42^2)</f>
        <v>4.5691776341980498E-3</v>
      </c>
      <c r="J42" s="109">
        <f t="shared" si="18"/>
        <v>1.1402582331332032</v>
      </c>
      <c r="K42" s="109">
        <f t="shared" si="19"/>
        <v>3.2382319258800891E-6</v>
      </c>
      <c r="L42" s="109">
        <f>E42/(Table1123[[#This Row],[b (mm)]]*Z42)</f>
        <v>1.9990152149616473E-3</v>
      </c>
      <c r="M42" s="109">
        <f>Table1123[[#This Row],[M (KN.mm)]]/(Table1123[[#This Row],[b (mm)]]*Table1123[[#This Row],[d (mm)]])</f>
        <v>1.2185996750406198</v>
      </c>
      <c r="N42" s="109">
        <f>Table1123[[#This Row],[M (KN.mm)]]/(Table1123[[#This Row],[b (mm)]]*Table1123[[#This Row],[h (mm)]])</f>
        <v>1.0662747156605425</v>
      </c>
      <c r="O42" s="109">
        <f>Table1123[[#This Row],[M (KN.mm)]]/(Table1123[[#This Row],[b (mm)]]*Table1123[[#This Row],[h (mm)]]*Table1123[[#This Row],[L(mm)]])</f>
        <v>5.3733528978169073E-4</v>
      </c>
      <c r="P42" s="109">
        <f>Table1123[[#This Row],[M (KN.mm)]]/(Table1123[[#This Row],[b (mm)]]*Table1123[[#This Row],[d (mm)]]*Table1123[[#This Row],[L(mm)]])</f>
        <v>6.1409747403621791E-4</v>
      </c>
      <c r="Q42" s="109">
        <f>Table1123[[#This Row],[M (KN.mm)]]/(Table1123[[#This Row],[b (mm)]]*Table1123[[#This Row],[h (mm)]]*Table1123[[#This Row],[L(mm)]]*Table1123[[#This Row],[fc (Mpa)]])</f>
        <v>1.6584422524126258E-5</v>
      </c>
      <c r="R42" s="109">
        <f>Table1123[[#This Row],[M (KN.mm)]]/(Table1123[[#This Row],[b (mm)]]*Table1123[[#This Row],[h (mm)]]*Table1123[[#This Row],[L(mm)]]/2)</f>
        <v>1.0746705795633815E-3</v>
      </c>
      <c r="S42" s="109">
        <f>Table1123[[#This Row],[M (KN.mm)]]/(Table1123[[#This Row],[a (mm)]]*Table1123[[#This Row],[b (mm)]]*Table1123[[#This Row],[h (mm)]]*Table1123[[#This Row],[L(mm)]]/2)</f>
        <v>1.7629110557142087E-6</v>
      </c>
      <c r="T42" s="123">
        <f>G42/(Table1123[pho (%)]*$AK$5*AH42*0.001)</f>
        <v>9.5081288889768173E-6</v>
      </c>
      <c r="U42" s="109">
        <f>Table1123[[#This Row],[M (KN.mm)]]/(Table1123[[#This Row],[b (mm)]]*Table1123[[#This Row],[d (mm)]]*Table1123[[#This Row],[pho (%)]])</f>
        <v>2.2156357728011269</v>
      </c>
      <c r="V42" s="109">
        <f>E42*224.8/(2*SQRT(Table1123[[#This Row],[fc (Mpa)]]*145.037)*Table1123[[#This Row],[b (mm)]]*Table1123[[#This Row],[d (mm)]]*(1/25.4)^2)</f>
        <v>2.1146472648939332</v>
      </c>
      <c r="W42" s="110">
        <f>Table1123[[#This Row],[M (KN.mm)]]/$G$45</f>
        <v>0.70256410256410262</v>
      </c>
      <c r="X42" s="123">
        <f t="shared" si="20"/>
        <v>2.1146472648939332</v>
      </c>
      <c r="Y42" s="109">
        <f t="shared" si="11"/>
        <v>609.59999999999991</v>
      </c>
      <c r="Z42" s="109">
        <f t="shared" si="12"/>
        <v>266.7</v>
      </c>
      <c r="AA42" s="109">
        <f t="shared" si="13"/>
        <v>304.79999999999995</v>
      </c>
      <c r="AB42" s="109">
        <f t="shared" si="14"/>
        <v>228.6</v>
      </c>
      <c r="AC42" s="7">
        <v>32.4</v>
      </c>
      <c r="AD42" s="110">
        <f>Table1123[[#This Row],[pho (%)]]/100*Table1123[[#This Row],[b (mm)]]*Table1123[[#This Row],[h (mm)]]</f>
        <v>383.22503999999998</v>
      </c>
      <c r="AE42" s="111">
        <v>0.55000000000000004</v>
      </c>
      <c r="AF42" s="110">
        <v>637.5</v>
      </c>
      <c r="AG42" s="110">
        <f>(1/3-0.21*(MIN(Table1123[[#This Row],[b (mm)]],AA42)/MAX(Table1123[[#This Row],[b (mm)]],AA42))*(MIN(Table1123[[#This Row],[b (mm)]],AA42)^4/(12*MAX(Table1123[[#This Row],[b (mm)]],AA42)^4)))*MAX(Table1123[[#This Row],[b (mm)]],AA42)*MIN(Table1123[[#This Row],[b (mm)]],AA42)^3</f>
        <v>1198609576.1573534</v>
      </c>
      <c r="AH42" s="110">
        <f>Table1123[[#This Row],[b (mm)]]*AA42^3/12</f>
        <v>539435927.57759976</v>
      </c>
      <c r="AI42" s="110">
        <f t="shared" si="15"/>
        <v>1984.375</v>
      </c>
      <c r="AJ42"/>
      <c r="AK42"/>
    </row>
    <row r="43" spans="1:37" x14ac:dyDescent="0.25">
      <c r="A43" s="117" t="s">
        <v>72</v>
      </c>
      <c r="B43" s="109" t="s">
        <v>64</v>
      </c>
      <c r="C43" s="109">
        <v>42</v>
      </c>
      <c r="D43" s="123">
        <f>Table1123[[#This Row],[a (mm)]]/Table1123[[#This Row],[d (mm)]]</f>
        <v>2.2857142857142856</v>
      </c>
      <c r="E43" s="109">
        <v>135.66400000000002</v>
      </c>
      <c r="F43" s="124">
        <f>Table1123[[#This Row],[d (mm)]]</f>
        <v>266.7</v>
      </c>
      <c r="G43" s="109">
        <f t="shared" si="16"/>
        <v>82700.774399999995</v>
      </c>
      <c r="H43" s="109">
        <f t="shared" si="17"/>
        <v>5.8211263544739468E-6</v>
      </c>
      <c r="I43" s="109">
        <f>G43/(Table1123[[#This Row],[b (mm)]]*Z43^2)</f>
        <v>5.0861283884321359E-3</v>
      </c>
      <c r="J43" s="109">
        <f t="shared" si="18"/>
        <v>1.2692655514803903</v>
      </c>
      <c r="K43" s="109">
        <f t="shared" si="19"/>
        <v>3.6046012313628728E-6</v>
      </c>
      <c r="L43" s="109">
        <f>E43/(Table1123[[#This Row],[b (mm)]]*Z43)</f>
        <v>2.2251811699390599E-3</v>
      </c>
      <c r="M43" s="109">
        <f>Table1123[[#This Row],[M (KN.mm)]]/(Table1123[[#This Row],[b (mm)]]*Table1123[[#This Row],[d (mm)]])</f>
        <v>1.3564704411948507</v>
      </c>
      <c r="N43" s="109">
        <f>Table1123[[#This Row],[M (KN.mm)]]/(Table1123[[#This Row],[b (mm)]]*Table1123[[#This Row],[h (mm)]])</f>
        <v>1.1869116360454945</v>
      </c>
      <c r="O43" s="109">
        <f>Table1123[[#This Row],[M (KN.mm)]]/(Table1123[[#This Row],[b (mm)]]*Table1123[[#This Row],[h (mm)]]*Table1123[[#This Row],[L(mm)]])</f>
        <v>5.9812869847961927E-4</v>
      </c>
      <c r="P43" s="109">
        <f>Table1123[[#This Row],[M (KN.mm)]]/(Table1123[[#This Row],[b (mm)]]*Table1123[[#This Row],[d (mm)]]*Table1123[[#This Row],[L(mm)]])</f>
        <v>6.8357565540527905E-4</v>
      </c>
      <c r="Q43" s="109">
        <f>Table1123[[#This Row],[M (KN.mm)]]/(Table1123[[#This Row],[b (mm)]]*Table1123[[#This Row],[h (mm)]]*Table1123[[#This Row],[L(mm)]]*Table1123[[#This Row],[fc (Mpa)]])</f>
        <v>1.8460762298753681E-5</v>
      </c>
      <c r="R43" s="109">
        <f>Table1123[[#This Row],[M (KN.mm)]]/(Table1123[[#This Row],[b (mm)]]*Table1123[[#This Row],[h (mm)]]*Table1123[[#This Row],[L(mm)]]/2)</f>
        <v>1.1962573969592385E-3</v>
      </c>
      <c r="S43" s="109">
        <f>Table1123[[#This Row],[M (KN.mm)]]/(Table1123[[#This Row],[a (mm)]]*Table1123[[#This Row],[b (mm)]]*Table1123[[#This Row],[h (mm)]]*Table1123[[#This Row],[L(mm)]]/2)</f>
        <v>1.9623644963242103E-6</v>
      </c>
      <c r="T43" s="123">
        <f>G43/(Table1123[pho (%)]*$AK$5*AH43*0.001)</f>
        <v>1.0583866099043538E-5</v>
      </c>
      <c r="U43" s="109">
        <f>Table1123[[#This Row],[M (KN.mm)]]/(Table1123[[#This Row],[b (mm)]]*Table1123[[#This Row],[d (mm)]]*Table1123[[#This Row],[pho (%)]])</f>
        <v>2.4663098930815464</v>
      </c>
      <c r="V43" s="109">
        <f>E43*224.8/(2*SQRT(Table1123[[#This Row],[fc (Mpa)]]*145.037)*Table1123[[#This Row],[b (mm)]]*Table1123[[#This Row],[d (mm)]]*(1/25.4)^2)</f>
        <v>2.3538956780753639</v>
      </c>
      <c r="W43" s="110">
        <f>Table1123[[#This Row],[M (KN.mm)]]/$G$45</f>
        <v>0.78205128205128216</v>
      </c>
      <c r="X43" s="123">
        <f t="shared" si="20"/>
        <v>2.3538956780753639</v>
      </c>
      <c r="Y43" s="109">
        <f t="shared" si="11"/>
        <v>609.59999999999991</v>
      </c>
      <c r="Z43" s="109">
        <f t="shared" si="12"/>
        <v>266.7</v>
      </c>
      <c r="AA43" s="109">
        <f t="shared" si="13"/>
        <v>304.79999999999995</v>
      </c>
      <c r="AB43" s="109">
        <f t="shared" si="14"/>
        <v>228.6</v>
      </c>
      <c r="AC43" s="7">
        <v>32.4</v>
      </c>
      <c r="AD43" s="110">
        <f>Table1123[[#This Row],[pho (%)]]/100*Table1123[[#This Row],[b (mm)]]*Table1123[[#This Row],[h (mm)]]</f>
        <v>383.22503999999998</v>
      </c>
      <c r="AE43" s="111">
        <v>0.55000000000000004</v>
      </c>
      <c r="AF43" s="110">
        <v>637.5</v>
      </c>
      <c r="AG43" s="110">
        <f>(1/3-0.21*(MIN(Table1123[[#This Row],[b (mm)]],AA43)/MAX(Table1123[[#This Row],[b (mm)]],AA43))*(MIN(Table1123[[#This Row],[b (mm)]],AA43)^4/(12*MAX(Table1123[[#This Row],[b (mm)]],AA43)^4)))*MAX(Table1123[[#This Row],[b (mm)]],AA43)*MIN(Table1123[[#This Row],[b (mm)]],AA43)^3</f>
        <v>1198609576.1573534</v>
      </c>
      <c r="AH43" s="110">
        <f>Table1123[[#This Row],[b (mm)]]*AA43^3/12</f>
        <v>539435927.57759976</v>
      </c>
      <c r="AI43" s="110">
        <f t="shared" si="15"/>
        <v>1984.375</v>
      </c>
      <c r="AJ43"/>
      <c r="AK43"/>
    </row>
    <row r="44" spans="1:37" x14ac:dyDescent="0.25">
      <c r="A44" s="117" t="s">
        <v>72</v>
      </c>
      <c r="B44" s="109" t="s">
        <v>65</v>
      </c>
      <c r="C44" s="109">
        <v>43</v>
      </c>
      <c r="D44" s="123">
        <f>Table1123[[#This Row],[a (mm)]]/Table1123[[#This Row],[d (mm)]]</f>
        <v>2.2857142857142856</v>
      </c>
      <c r="E44" s="109">
        <v>157.90400000000002</v>
      </c>
      <c r="F44" s="124">
        <f>Table1123[[#This Row],[d (mm)]]</f>
        <v>266.7</v>
      </c>
      <c r="G44" s="109">
        <f t="shared" si="16"/>
        <v>96258.278399999996</v>
      </c>
      <c r="H44" s="109">
        <f t="shared" si="17"/>
        <v>6.7754093634041022E-6</v>
      </c>
      <c r="I44" s="109">
        <f>G44/(Table1123[[#This Row],[b (mm)]]*Z44^2)</f>
        <v>5.9199199275193713E-3</v>
      </c>
      <c r="J44" s="109">
        <f t="shared" si="18"/>
        <v>1.4773418713952085</v>
      </c>
      <c r="K44" s="109">
        <f t="shared" si="19"/>
        <v>4.1955194660125242E-6</v>
      </c>
      <c r="L44" s="109">
        <f>E44/(Table1123[[#This Row],[b (mm)]]*Z44)</f>
        <v>2.5899649682897255E-3</v>
      </c>
      <c r="M44" s="109">
        <f>Table1123[[#This Row],[M (KN.mm)]]/(Table1123[[#This Row],[b (mm)]]*Table1123[[#This Row],[d (mm)]])</f>
        <v>1.5788426446694164</v>
      </c>
      <c r="N44" s="109">
        <f>Table1123[[#This Row],[M (KN.mm)]]/(Table1123[[#This Row],[b (mm)]]*Table1123[[#This Row],[h (mm)]])</f>
        <v>1.3814873140857395</v>
      </c>
      <c r="O44" s="109">
        <f>Table1123[[#This Row],[M (KN.mm)]]/(Table1123[[#This Row],[b (mm)]]*Table1123[[#This Row],[h (mm)]]*Table1123[[#This Row],[L(mm)]])</f>
        <v>6.9618258347627819E-4</v>
      </c>
      <c r="P44" s="109">
        <f>Table1123[[#This Row],[M (KN.mm)]]/(Table1123[[#This Row],[b (mm)]]*Table1123[[#This Row],[d (mm)]]*Table1123[[#This Row],[L(mm)]])</f>
        <v>7.9563723825860357E-4</v>
      </c>
      <c r="Q44" s="109">
        <f>Table1123[[#This Row],[M (KN.mm)]]/(Table1123[[#This Row],[b (mm)]]*Table1123[[#This Row],[h (mm)]]*Table1123[[#This Row],[L(mm)]]*Table1123[[#This Row],[fc (Mpa)]])</f>
        <v>2.1487116773959202E-5</v>
      </c>
      <c r="R44" s="109">
        <f>Table1123[[#This Row],[M (KN.mm)]]/(Table1123[[#This Row],[b (mm)]]*Table1123[[#This Row],[h (mm)]]*Table1123[[#This Row],[L(mm)]]/2)</f>
        <v>1.3923651669525564E-3</v>
      </c>
      <c r="S44" s="109">
        <f>Table1123[[#This Row],[M (KN.mm)]]/(Table1123[[#This Row],[a (mm)]]*Table1123[[#This Row],[b (mm)]]*Table1123[[#This Row],[h (mm)]]*Table1123[[#This Row],[L(mm)]]/2)</f>
        <v>2.284063594082278E-6</v>
      </c>
      <c r="T44" s="123">
        <f>G44/(Table1123[pho (%)]*$AK$5*AH44*0.001)</f>
        <v>1.2318926115280184E-5</v>
      </c>
      <c r="U44" s="109">
        <f>Table1123[[#This Row],[M (KN.mm)]]/(Table1123[[#This Row],[b (mm)]]*Table1123[[#This Row],[d (mm)]]*Table1123[[#This Row],[pho (%)]])</f>
        <v>2.8706229903080298</v>
      </c>
      <c r="V44" s="109">
        <f>E44*224.8/(2*SQRT(Table1123[[#This Row],[fc (Mpa)]]*145.037)*Table1123[[#This Row],[b (mm)]]*Table1123[[#This Row],[d (mm)]]*(1/25.4)^2)</f>
        <v>2.7397802154647679</v>
      </c>
      <c r="W44" s="110">
        <f>Table1123[[#This Row],[M (KN.mm)]]/$G$45</f>
        <v>0.91025641025641035</v>
      </c>
      <c r="X44" s="123">
        <f t="shared" si="20"/>
        <v>2.7397802154647679</v>
      </c>
      <c r="Y44" s="109">
        <f t="shared" si="11"/>
        <v>609.59999999999991</v>
      </c>
      <c r="Z44" s="109">
        <f t="shared" si="12"/>
        <v>266.7</v>
      </c>
      <c r="AA44" s="109">
        <f t="shared" si="13"/>
        <v>304.79999999999995</v>
      </c>
      <c r="AB44" s="109">
        <f t="shared" si="14"/>
        <v>228.6</v>
      </c>
      <c r="AC44" s="7">
        <v>32.4</v>
      </c>
      <c r="AD44" s="110">
        <f>Table1123[[#This Row],[pho (%)]]/100*Table1123[[#This Row],[b (mm)]]*Table1123[[#This Row],[h (mm)]]</f>
        <v>383.22503999999998</v>
      </c>
      <c r="AE44" s="111">
        <v>0.55000000000000004</v>
      </c>
      <c r="AF44" s="110">
        <v>637.5</v>
      </c>
      <c r="AG44" s="110">
        <f>(1/3-0.21*(MIN(Table1123[[#This Row],[b (mm)]],AA44)/MAX(Table1123[[#This Row],[b (mm)]],AA44))*(MIN(Table1123[[#This Row],[b (mm)]],AA44)^4/(12*MAX(Table1123[[#This Row],[b (mm)]],AA44)^4)))*MAX(Table1123[[#This Row],[b (mm)]],AA44)*MIN(Table1123[[#This Row],[b (mm)]],AA44)^3</f>
        <v>1198609576.1573534</v>
      </c>
      <c r="AH44" s="110">
        <f>Table1123[[#This Row],[b (mm)]]*AA44^3/12</f>
        <v>539435927.57759976</v>
      </c>
      <c r="AI44" s="110">
        <f t="shared" si="15"/>
        <v>1984.375</v>
      </c>
      <c r="AJ44"/>
      <c r="AK44"/>
    </row>
    <row r="45" spans="1:37" x14ac:dyDescent="0.25">
      <c r="A45" s="118" t="s">
        <v>72</v>
      </c>
      <c r="B45" s="109" t="s">
        <v>66</v>
      </c>
      <c r="C45" s="109">
        <v>44</v>
      </c>
      <c r="D45" s="123">
        <f>Table1123[[#This Row],[a (mm)]]/Table1123[[#This Row],[d (mm)]]</f>
        <v>2.2857142857142856</v>
      </c>
      <c r="E45" s="109">
        <v>173.47200000000001</v>
      </c>
      <c r="F45" s="124">
        <f>Table1123[[#This Row],[d (mm)]]</f>
        <v>266.7</v>
      </c>
      <c r="G45" s="109">
        <f t="shared" si="16"/>
        <v>105748.53119999998</v>
      </c>
      <c r="H45" s="109">
        <f t="shared" si="17"/>
        <v>7.4434074696552101E-6</v>
      </c>
      <c r="I45" s="109">
        <f>G45/(Table1123[[#This Row],[b (mm)]]*Z45^2)</f>
        <v>6.5035740048804353E-3</v>
      </c>
      <c r="J45" s="109">
        <f t="shared" si="18"/>
        <v>1.6229952953355811</v>
      </c>
      <c r="K45" s="109">
        <f t="shared" si="19"/>
        <v>4.6091622302672798E-6</v>
      </c>
      <c r="L45" s="109">
        <f>E45/(Table1123[[#This Row],[b (mm)]]*Z45)</f>
        <v>2.8453136271351909E-3</v>
      </c>
      <c r="M45" s="109">
        <f>Table1123[[#This Row],[M (KN.mm)]]/(Table1123[[#This Row],[b (mm)]]*Table1123[[#This Row],[d (mm)]])</f>
        <v>1.7345031871016121</v>
      </c>
      <c r="N45" s="109">
        <f>Table1123[[#This Row],[M (KN.mm)]]/(Table1123[[#This Row],[b (mm)]]*Table1123[[#This Row],[h (mm)]])</f>
        <v>1.5176902887139108</v>
      </c>
      <c r="O45" s="109">
        <f>Table1123[[#This Row],[M (KN.mm)]]/(Table1123[[#This Row],[b (mm)]]*Table1123[[#This Row],[h (mm)]]*Table1123[[#This Row],[L(mm)]])</f>
        <v>7.6482030297393927E-4</v>
      </c>
      <c r="P45" s="109">
        <f>Table1123[[#This Row],[M (KN.mm)]]/(Table1123[[#This Row],[b (mm)]]*Table1123[[#This Row],[d (mm)]]*Table1123[[#This Row],[L(mm)]])</f>
        <v>8.7408034625593056E-4</v>
      </c>
      <c r="Q45" s="109">
        <f>Table1123[[#This Row],[M (KN.mm)]]/(Table1123[[#This Row],[b (mm)]]*Table1123[[#This Row],[h (mm)]]*Table1123[[#This Row],[L(mm)]]*Table1123[[#This Row],[fc (Mpa)]])</f>
        <v>2.3605564906603065E-5</v>
      </c>
      <c r="R45" s="109">
        <f>Table1123[[#This Row],[M (KN.mm)]]/(Table1123[[#This Row],[b (mm)]]*Table1123[[#This Row],[h (mm)]]*Table1123[[#This Row],[L(mm)]]/2)</f>
        <v>1.5296406059478785E-3</v>
      </c>
      <c r="S45" s="109">
        <f>Table1123[[#This Row],[M (KN.mm)]]/(Table1123[[#This Row],[a (mm)]]*Table1123[[#This Row],[b (mm)]]*Table1123[[#This Row],[h (mm)]]*Table1123[[#This Row],[L(mm)]]/2)</f>
        <v>2.5092529625129247E-6</v>
      </c>
      <c r="T45" s="123">
        <f>G45/(Table1123[pho (%)]*$AK$5*AH45*0.001)</f>
        <v>1.3533468126645835E-5</v>
      </c>
      <c r="U45" s="109">
        <f>Table1123[[#This Row],[M (KN.mm)]]/(Table1123[[#This Row],[b (mm)]]*Table1123[[#This Row],[d (mm)]]*Table1123[[#This Row],[pho (%)]])</f>
        <v>3.1536421583665675</v>
      </c>
      <c r="V45" s="109">
        <f>E45*224.8/(2*SQRT(Table1123[[#This Row],[fc (Mpa)]]*145.037)*Table1123[[#This Row],[b (mm)]]*Table1123[[#This Row],[d (mm)]]*(1/25.4)^2)</f>
        <v>3.0098993916373504</v>
      </c>
      <c r="W45" s="110">
        <f>Table1123[[#This Row],[M (KN.mm)]]/$G$45</f>
        <v>1</v>
      </c>
      <c r="X45" s="123">
        <f t="shared" si="20"/>
        <v>3.0098993916373504</v>
      </c>
      <c r="Y45" s="109">
        <f t="shared" si="11"/>
        <v>609.59999999999991</v>
      </c>
      <c r="Z45" s="109">
        <f t="shared" si="12"/>
        <v>266.7</v>
      </c>
      <c r="AA45" s="109">
        <f t="shared" si="13"/>
        <v>304.79999999999995</v>
      </c>
      <c r="AB45" s="109">
        <f t="shared" si="14"/>
        <v>228.6</v>
      </c>
      <c r="AC45" s="7">
        <v>32.4</v>
      </c>
      <c r="AD45" s="110">
        <f>Table1123[[#This Row],[pho (%)]]/100*Table1123[[#This Row],[b (mm)]]*Table1123[[#This Row],[h (mm)]]</f>
        <v>383.22503999999998</v>
      </c>
      <c r="AE45" s="111">
        <v>0.55000000000000004</v>
      </c>
      <c r="AF45" s="110">
        <v>637.5</v>
      </c>
      <c r="AG45" s="110">
        <f>(1/3-0.21*(MIN(Table1123[[#This Row],[b (mm)]],AA45)/MAX(Table1123[[#This Row],[b (mm)]],AA45))*(MIN(Table1123[[#This Row],[b (mm)]],AA45)^4/(12*MAX(Table1123[[#This Row],[b (mm)]],AA45)^4)))*MAX(Table1123[[#This Row],[b (mm)]],AA45)*MIN(Table1123[[#This Row],[b (mm)]],AA45)^3</f>
        <v>1198609576.1573534</v>
      </c>
      <c r="AH45" s="110">
        <f>Table1123[[#This Row],[b (mm)]]*AA45^3/12</f>
        <v>539435927.57759976</v>
      </c>
      <c r="AI45" s="110">
        <f t="shared" si="15"/>
        <v>1984.375</v>
      </c>
      <c r="AJ45"/>
      <c r="AK45"/>
    </row>
    <row r="46" spans="1:37" x14ac:dyDescent="0.25">
      <c r="A46" s="119" t="s">
        <v>73</v>
      </c>
      <c r="B46" s="109" t="s">
        <v>60</v>
      </c>
      <c r="C46" s="109">
        <v>45</v>
      </c>
      <c r="D46" s="123">
        <f>Table1123[[#This Row],[a (mm)]]/Table1123[[#This Row],[d (mm)]]</f>
        <v>2.2857142857142856</v>
      </c>
      <c r="E46" s="109">
        <v>68.054400000000015</v>
      </c>
      <c r="F46" s="124">
        <f>Table1123[[#This Row],[d (mm)]]</f>
        <v>266.7</v>
      </c>
      <c r="G46" s="109">
        <f t="shared" si="16"/>
        <v>41485.962240000001</v>
      </c>
      <c r="H46" s="109">
        <f t="shared" si="17"/>
        <v>2.9201060073262751E-6</v>
      </c>
      <c r="I46" s="109">
        <f>G46/(Table1123[[#This Row],[b (mm)]]*Z46^2)</f>
        <v>2.5514021096069406E-3</v>
      </c>
      <c r="J46" s="109">
        <f t="shared" si="18"/>
        <v>0.63373127411995545</v>
      </c>
      <c r="K46" s="109">
        <f t="shared" si="19"/>
        <v>1.8082097980279333E-6</v>
      </c>
      <c r="L46" s="109">
        <f>E46/(Table1123[[#This Row],[b (mm)]]*Z46)</f>
        <v>1.1162384229530368E-3</v>
      </c>
      <c r="M46" s="109">
        <f>Table1123[[#This Row],[M (KN.mm)]]/(Table1123[[#This Row],[b (mm)]]*Table1123[[#This Row],[d (mm)]])</f>
        <v>0.68045894263217099</v>
      </c>
      <c r="N46" s="109">
        <f>Table1123[[#This Row],[M (KN.mm)]]/(Table1123[[#This Row],[b (mm)]]*Table1123[[#This Row],[h (mm)]])</f>
        <v>0.5954015748031497</v>
      </c>
      <c r="O46" s="109">
        <f>Table1123[[#This Row],[M (KN.mm)]]/(Table1123[[#This Row],[b (mm)]]*Table1123[[#This Row],[h (mm)]]*Table1123[[#This Row],[L(mm)]])</f>
        <v>3.0004488808977627E-4</v>
      </c>
      <c r="P46" s="109">
        <f>Table1123[[#This Row],[M (KN.mm)]]/(Table1123[[#This Row],[b (mm)]]*Table1123[[#This Row],[d (mm)]]*Table1123[[#This Row],[L(mm)]])</f>
        <v>3.4290844353117284E-4</v>
      </c>
      <c r="Q46" s="109">
        <f>Table1123[[#This Row],[M (KN.mm)]]/(Table1123[[#This Row],[b (mm)]]*Table1123[[#This Row],[h (mm)]]*Table1123[[#This Row],[L(mm)]]*Table1123[[#This Row],[fc (Mpa)]])</f>
        <v>1.6131445596224529E-5</v>
      </c>
      <c r="R46" s="109">
        <f>Table1123[[#This Row],[M (KN.mm)]]/(Table1123[[#This Row],[b (mm)]]*Table1123[[#This Row],[h (mm)]]*Table1123[[#This Row],[L(mm)]]/2)</f>
        <v>6.0008977617955254E-4</v>
      </c>
      <c r="S46" s="109">
        <f>Table1123[[#This Row],[M (KN.mm)]]/(Table1123[[#This Row],[a (mm)]]*Table1123[[#This Row],[b (mm)]]*Table1123[[#This Row],[h (mm)]]*Table1123[[#This Row],[L(mm)]]/2)</f>
        <v>9.8439923913968605E-7</v>
      </c>
      <c r="T46" s="123">
        <f>G46/(Table1123[pho (%)]*$AK$5*AH46*0.001)</f>
        <v>5.3092836496841354E-6</v>
      </c>
      <c r="U46" s="109">
        <f>Table1123[[#This Row],[M (KN.mm)]]/(Table1123[[#This Row],[b (mm)]]*Table1123[[#This Row],[d (mm)]]*Table1123[[#This Row],[pho (%)]])</f>
        <v>1.2371980775130382</v>
      </c>
      <c r="V46" s="109">
        <f>E46*224.8/(2*SQRT(Table1123[[#This Row],[fc (Mpa)]]*145.037)*Table1123[[#This Row],[b (mm)]]*Table1123[[#This Row],[d (mm)]]*(1/25.4)^2)</f>
        <v>1.5584570430019853</v>
      </c>
      <c r="W46" s="110">
        <f>Table1123[[#This Row],[M (KN.mm)]]/$G$49</f>
        <v>0.69545454545454544</v>
      </c>
      <c r="X46" s="123">
        <f t="shared" si="20"/>
        <v>1.5584570430019853</v>
      </c>
      <c r="Y46" s="109">
        <f t="shared" si="11"/>
        <v>609.59999999999991</v>
      </c>
      <c r="Z46" s="109">
        <f t="shared" si="12"/>
        <v>266.7</v>
      </c>
      <c r="AA46" s="109">
        <f t="shared" si="13"/>
        <v>304.79999999999995</v>
      </c>
      <c r="AB46" s="109">
        <f t="shared" si="14"/>
        <v>228.6</v>
      </c>
      <c r="AC46" s="7">
        <v>18.600000000000001</v>
      </c>
      <c r="AD46" s="110">
        <f>Table1123[[#This Row],[pho (%)]]/100*Table1123[[#This Row],[b (mm)]]*Table1123[[#This Row],[h (mm)]]</f>
        <v>383.22503999999998</v>
      </c>
      <c r="AE46" s="111">
        <v>0.55000000000000004</v>
      </c>
      <c r="AF46" s="110">
        <v>640.5</v>
      </c>
      <c r="AG46" s="110">
        <f>(1/3-0.21*(MIN(Table1123[[#This Row],[b (mm)]],AA46)/MAX(Table1123[[#This Row],[b (mm)]],AA46))*(MIN(Table1123[[#This Row],[b (mm)]],AA46)^4/(12*MAX(Table1123[[#This Row],[b (mm)]],AA46)^4)))*MAX(Table1123[[#This Row],[b (mm)]],AA46)*MIN(Table1123[[#This Row],[b (mm)]],AA46)^3</f>
        <v>1198609576.1573534</v>
      </c>
      <c r="AH46" s="110">
        <f>Table1123[[#This Row],[b (mm)]]*AA46^3/12</f>
        <v>539435927.57759976</v>
      </c>
      <c r="AI46" s="110">
        <f t="shared" si="15"/>
        <v>1984.375</v>
      </c>
      <c r="AJ46"/>
      <c r="AK46"/>
    </row>
    <row r="47" spans="1:37" x14ac:dyDescent="0.25">
      <c r="A47" s="119" t="s">
        <v>73</v>
      </c>
      <c r="B47" s="109" t="s">
        <v>61</v>
      </c>
      <c r="C47" s="109">
        <v>46</v>
      </c>
      <c r="D47" s="123">
        <f>Table1123[[#This Row],[a (mm)]]/Table1123[[#This Row],[d (mm)]]</f>
        <v>2.2857142857142856</v>
      </c>
      <c r="E47" s="109">
        <v>81.398400000000009</v>
      </c>
      <c r="F47" s="124">
        <f>Table1123[[#This Row],[d (mm)]]</f>
        <v>266.7</v>
      </c>
      <c r="G47" s="109">
        <f t="shared" si="16"/>
        <v>49620.464639999998</v>
      </c>
      <c r="H47" s="109">
        <f t="shared" si="17"/>
        <v>3.4926758126843683E-6</v>
      </c>
      <c r="I47" s="109">
        <f>G47/(Table1123[[#This Row],[b (mm)]]*Z47^2)</f>
        <v>3.0516770330592815E-3</v>
      </c>
      <c r="J47" s="109">
        <f t="shared" si="18"/>
        <v>0.75799230826112307</v>
      </c>
      <c r="K47" s="109">
        <f t="shared" si="19"/>
        <v>2.1627607388177239E-6</v>
      </c>
      <c r="L47" s="109">
        <f>E47/(Table1123[[#This Row],[b (mm)]]*Z47)</f>
        <v>1.3351087019634359E-3</v>
      </c>
      <c r="M47" s="109">
        <f>Table1123[[#This Row],[M (KN.mm)]]/(Table1123[[#This Row],[b (mm)]]*Table1123[[#This Row],[d (mm)]])</f>
        <v>0.81388226471691039</v>
      </c>
      <c r="N47" s="109">
        <f>Table1123[[#This Row],[M (KN.mm)]]/(Table1123[[#This Row],[b (mm)]]*Table1123[[#This Row],[h (mm)]])</f>
        <v>0.71214698162729673</v>
      </c>
      <c r="O47" s="109">
        <f>Table1123[[#This Row],[M (KN.mm)]]/(Table1123[[#This Row],[b (mm)]]*Table1123[[#This Row],[h (mm)]]*Table1123[[#This Row],[L(mm)]])</f>
        <v>3.5887721908777159E-4</v>
      </c>
      <c r="P47" s="109">
        <f>Table1123[[#This Row],[M (KN.mm)]]/(Table1123[[#This Row],[b (mm)]]*Table1123[[#This Row],[d (mm)]]*Table1123[[#This Row],[L(mm)]])</f>
        <v>4.1014539324316746E-4</v>
      </c>
      <c r="Q47" s="109">
        <f>Table1123[[#This Row],[M (KN.mm)]]/(Table1123[[#This Row],[b (mm)]]*Table1123[[#This Row],[h (mm)]]*Table1123[[#This Row],[L(mm)]]*Table1123[[#This Row],[fc (Mpa)]])</f>
        <v>1.9294474144503846E-5</v>
      </c>
      <c r="R47" s="109">
        <f>Table1123[[#This Row],[M (KN.mm)]]/(Table1123[[#This Row],[b (mm)]]*Table1123[[#This Row],[h (mm)]]*Table1123[[#This Row],[L(mm)]]/2)</f>
        <v>7.1775443817554318E-4</v>
      </c>
      <c r="S47" s="109">
        <f>Table1123[[#This Row],[M (KN.mm)]]/(Table1123[[#This Row],[a (mm)]]*Table1123[[#This Row],[b (mm)]]*Table1123[[#This Row],[h (mm)]]*Table1123[[#This Row],[L(mm)]]/2)</f>
        <v>1.1774186977945263E-6</v>
      </c>
      <c r="T47" s="123">
        <f>G47/(Table1123[pho (%)]*$AK$5*AH47*0.001)</f>
        <v>6.3503196594261231E-6</v>
      </c>
      <c r="U47" s="109">
        <f>Table1123[[#This Row],[M (KN.mm)]]/(Table1123[[#This Row],[b (mm)]]*Table1123[[#This Row],[d (mm)]]*Table1123[[#This Row],[pho (%)]])</f>
        <v>1.479785935848928</v>
      </c>
      <c r="V47" s="109">
        <f>E47*224.8/(2*SQRT(Table1123[[#This Row],[fc (Mpa)]]*145.037)*Table1123[[#This Row],[b (mm)]]*Table1123[[#This Row],[d (mm)]]*(1/25.4)^2)</f>
        <v>1.8640368553553155</v>
      </c>
      <c r="W47" s="110">
        <f>Table1123[[#This Row],[M (KN.mm)]]/$G$49</f>
        <v>0.83181818181818179</v>
      </c>
      <c r="X47" s="123">
        <f t="shared" si="20"/>
        <v>1.8640368553553155</v>
      </c>
      <c r="Y47" s="109">
        <f t="shared" si="11"/>
        <v>609.59999999999991</v>
      </c>
      <c r="Z47" s="109">
        <f t="shared" si="12"/>
        <v>266.7</v>
      </c>
      <c r="AA47" s="109">
        <f t="shared" si="13"/>
        <v>304.79999999999995</v>
      </c>
      <c r="AB47" s="109">
        <f t="shared" si="14"/>
        <v>228.6</v>
      </c>
      <c r="AC47" s="7">
        <v>18.600000000000001</v>
      </c>
      <c r="AD47" s="110">
        <f>Table1123[[#This Row],[pho (%)]]/100*Table1123[[#This Row],[b (mm)]]*Table1123[[#This Row],[h (mm)]]</f>
        <v>383.22503999999998</v>
      </c>
      <c r="AE47" s="111">
        <v>0.55000000000000004</v>
      </c>
      <c r="AF47" s="110">
        <v>640.5</v>
      </c>
      <c r="AG47" s="110">
        <f>(1/3-0.21*(MIN(Table1123[[#This Row],[b (mm)]],AA47)/MAX(Table1123[[#This Row],[b (mm)]],AA47))*(MIN(Table1123[[#This Row],[b (mm)]],AA47)^4/(12*MAX(Table1123[[#This Row],[b (mm)]],AA47)^4)))*MAX(Table1123[[#This Row],[b (mm)]],AA47)*MIN(Table1123[[#This Row],[b (mm)]],AA47)^3</f>
        <v>1198609576.1573534</v>
      </c>
      <c r="AH47" s="110">
        <f>Table1123[[#This Row],[b (mm)]]*AA47^3/12</f>
        <v>539435927.57759976</v>
      </c>
      <c r="AI47" s="110">
        <f t="shared" si="15"/>
        <v>1984.375</v>
      </c>
      <c r="AJ47"/>
      <c r="AK47"/>
    </row>
    <row r="48" spans="1:37" x14ac:dyDescent="0.25">
      <c r="A48" s="119" t="s">
        <v>73</v>
      </c>
      <c r="B48" s="109" t="s">
        <v>62</v>
      </c>
      <c r="C48" s="109">
        <v>47</v>
      </c>
      <c r="D48" s="123">
        <f>Table1123[[#This Row],[a (mm)]]/Table1123[[#This Row],[d (mm)]]</f>
        <v>2.2857142857142856</v>
      </c>
      <c r="E48" s="109">
        <v>94.742400000000018</v>
      </c>
      <c r="F48" s="124">
        <f>Table1123[[#This Row],[d (mm)]]</f>
        <v>266.7</v>
      </c>
      <c r="G48" s="109">
        <f t="shared" si="16"/>
        <v>57754.967040000003</v>
      </c>
      <c r="H48" s="109">
        <f t="shared" si="17"/>
        <v>4.0652456180424615E-6</v>
      </c>
      <c r="I48" s="109">
        <f>G48/(Table1123[[#This Row],[b (mm)]]*Z48^2)</f>
        <v>3.5519519565116232E-3</v>
      </c>
      <c r="J48" s="109">
        <f t="shared" si="18"/>
        <v>0.88225334240229092</v>
      </c>
      <c r="K48" s="109">
        <f t="shared" si="19"/>
        <v>2.5173116796075146E-6</v>
      </c>
      <c r="L48" s="109">
        <f>E48/(Table1123[[#This Row],[b (mm)]]*Z48)</f>
        <v>1.5539789809738353E-3</v>
      </c>
      <c r="M48" s="109">
        <f>Table1123[[#This Row],[M (KN.mm)]]/(Table1123[[#This Row],[b (mm)]]*Table1123[[#This Row],[d (mm)]])</f>
        <v>0.94730558680164989</v>
      </c>
      <c r="N48" s="109">
        <f>Table1123[[#This Row],[M (KN.mm)]]/(Table1123[[#This Row],[b (mm)]]*Table1123[[#This Row],[h (mm)]])</f>
        <v>0.82889238845144375</v>
      </c>
      <c r="O48" s="109">
        <f>Table1123[[#This Row],[M (KN.mm)]]/(Table1123[[#This Row],[b (mm)]]*Table1123[[#This Row],[h (mm)]]*Table1123[[#This Row],[L(mm)]])</f>
        <v>4.1770955008576697E-4</v>
      </c>
      <c r="P48" s="109">
        <f>Table1123[[#This Row],[M (KN.mm)]]/(Table1123[[#This Row],[b (mm)]]*Table1123[[#This Row],[d (mm)]]*Table1123[[#This Row],[L(mm)]])</f>
        <v>4.773823429551622E-4</v>
      </c>
      <c r="Q48" s="109">
        <f>Table1123[[#This Row],[M (KN.mm)]]/(Table1123[[#This Row],[b (mm)]]*Table1123[[#This Row],[h (mm)]]*Table1123[[#This Row],[L(mm)]]*Table1123[[#This Row],[fc (Mpa)]])</f>
        <v>2.2457502692783167E-5</v>
      </c>
      <c r="R48" s="109">
        <f>Table1123[[#This Row],[M (KN.mm)]]/(Table1123[[#This Row],[b (mm)]]*Table1123[[#This Row],[h (mm)]]*Table1123[[#This Row],[L(mm)]]/2)</f>
        <v>8.3541910017153394E-4</v>
      </c>
      <c r="S48" s="109">
        <f>Table1123[[#This Row],[M (KN.mm)]]/(Table1123[[#This Row],[a (mm)]]*Table1123[[#This Row],[b (mm)]]*Table1123[[#This Row],[h (mm)]]*Table1123[[#This Row],[L(mm)]]/2)</f>
        <v>1.3704381564493668E-6</v>
      </c>
      <c r="T48" s="123">
        <f>G48/(Table1123[pho (%)]*$AK$5*AH48*0.001)</f>
        <v>7.3913556691681107E-6</v>
      </c>
      <c r="U48" s="109">
        <f>Table1123[[#This Row],[M (KN.mm)]]/(Table1123[[#This Row],[b (mm)]]*Table1123[[#This Row],[d (mm)]]*Table1123[[#This Row],[pho (%)]])</f>
        <v>1.7223737941848181</v>
      </c>
      <c r="V48" s="109">
        <f>E48*224.8/(2*SQRT(Table1123[[#This Row],[fc (Mpa)]]*145.037)*Table1123[[#This Row],[b (mm)]]*Table1123[[#This Row],[d (mm)]]*(1/25.4)^2)</f>
        <v>2.1696166677086461</v>
      </c>
      <c r="W48" s="110">
        <f>Table1123[[#This Row],[M (KN.mm)]]/$G$49</f>
        <v>0.96818181818181825</v>
      </c>
      <c r="X48" s="123">
        <f t="shared" si="20"/>
        <v>2.1696166677086461</v>
      </c>
      <c r="Y48" s="109">
        <f t="shared" si="11"/>
        <v>609.59999999999991</v>
      </c>
      <c r="Z48" s="109">
        <f t="shared" si="12"/>
        <v>266.7</v>
      </c>
      <c r="AA48" s="109">
        <f t="shared" si="13"/>
        <v>304.79999999999995</v>
      </c>
      <c r="AB48" s="109">
        <f t="shared" si="14"/>
        <v>228.6</v>
      </c>
      <c r="AC48" s="7">
        <v>18.600000000000001</v>
      </c>
      <c r="AD48" s="110">
        <f>Table1123[[#This Row],[pho (%)]]/100*Table1123[[#This Row],[b (mm)]]*Table1123[[#This Row],[h (mm)]]</f>
        <v>383.22503999999998</v>
      </c>
      <c r="AE48" s="111">
        <v>0.55000000000000004</v>
      </c>
      <c r="AF48" s="110">
        <v>640.5</v>
      </c>
      <c r="AG48" s="110">
        <f>(1/3-0.21*(MIN(Table1123[[#This Row],[b (mm)]],AA48)/MAX(Table1123[[#This Row],[b (mm)]],AA48))*(MIN(Table1123[[#This Row],[b (mm)]],AA48)^4/(12*MAX(Table1123[[#This Row],[b (mm)]],AA48)^4)))*MAX(Table1123[[#This Row],[b (mm)]],AA48)*MIN(Table1123[[#This Row],[b (mm)]],AA48)^3</f>
        <v>1198609576.1573534</v>
      </c>
      <c r="AH48" s="110">
        <f>Table1123[[#This Row],[b (mm)]]*AA48^3/12</f>
        <v>539435927.57759976</v>
      </c>
      <c r="AI48" s="110">
        <f t="shared" si="15"/>
        <v>1984.375</v>
      </c>
      <c r="AJ48"/>
      <c r="AK48"/>
    </row>
    <row r="49" spans="1:37" x14ac:dyDescent="0.25">
      <c r="A49" s="120" t="s">
        <v>73</v>
      </c>
      <c r="B49" s="109" t="s">
        <v>63</v>
      </c>
      <c r="C49" s="109">
        <v>48</v>
      </c>
      <c r="D49" s="123">
        <f>Table1123[[#This Row],[a (mm)]]/Table1123[[#This Row],[d (mm)]]</f>
        <v>2.2857142857142856</v>
      </c>
      <c r="E49" s="109">
        <v>97.856000000000009</v>
      </c>
      <c r="F49" s="124">
        <f>Table1123[[#This Row],[d (mm)]]</f>
        <v>266.7</v>
      </c>
      <c r="G49" s="109">
        <f t="shared" si="16"/>
        <v>59653.017599999999</v>
      </c>
      <c r="H49" s="109">
        <f t="shared" si="17"/>
        <v>4.1988452392926827E-6</v>
      </c>
      <c r="I49" s="109">
        <f>G49/(Table1123[[#This Row],[b (mm)]]*Z49^2)</f>
        <v>3.6686827719838362E-3</v>
      </c>
      <c r="J49" s="109">
        <f t="shared" si="18"/>
        <v>0.91124758370189662</v>
      </c>
      <c r="K49" s="109">
        <f t="shared" si="19"/>
        <v>2.6000402324584658E-6</v>
      </c>
      <c r="L49" s="109">
        <f>E49/(Table1123[[#This Row],[b (mm)]]*Z49)</f>
        <v>1.6050487127429285E-3</v>
      </c>
      <c r="M49" s="109">
        <f>Table1123[[#This Row],[M (KN.mm)]]/(Table1123[[#This Row],[b (mm)]]*Table1123[[#This Row],[d (mm)]])</f>
        <v>0.9784376952880891</v>
      </c>
      <c r="N49" s="109">
        <f>Table1123[[#This Row],[M (KN.mm)]]/(Table1123[[#This Row],[b (mm)]]*Table1123[[#This Row],[h (mm)]])</f>
        <v>0.85613298337707799</v>
      </c>
      <c r="O49" s="109">
        <f>Table1123[[#This Row],[M (KN.mm)]]/(Table1123[[#This Row],[b (mm)]]*Table1123[[#This Row],[h (mm)]]*Table1123[[#This Row],[L(mm)]])</f>
        <v>4.3143709398529915E-4</v>
      </c>
      <c r="P49" s="109">
        <f>Table1123[[#This Row],[M (KN.mm)]]/(Table1123[[#This Row],[b (mm)]]*Table1123[[#This Row],[d (mm)]]*Table1123[[#This Row],[L(mm)]])</f>
        <v>4.9307096455462754E-4</v>
      </c>
      <c r="Q49" s="109">
        <f>Table1123[[#This Row],[M (KN.mm)]]/(Table1123[[#This Row],[b (mm)]]*Table1123[[#This Row],[h (mm)]]*Table1123[[#This Row],[L(mm)]]*Table1123[[#This Row],[fc (Mpa)]])</f>
        <v>2.3195542687381674E-5</v>
      </c>
      <c r="R49" s="109">
        <f>Table1123[[#This Row],[M (KN.mm)]]/(Table1123[[#This Row],[b (mm)]]*Table1123[[#This Row],[h (mm)]]*Table1123[[#This Row],[L(mm)]]/2)</f>
        <v>8.6287418797059831E-4</v>
      </c>
      <c r="S49" s="109">
        <f>Table1123[[#This Row],[M (KN.mm)]]/(Table1123[[#This Row],[a (mm)]]*Table1123[[#This Row],[b (mm)]]*Table1123[[#This Row],[h (mm)]]*Table1123[[#This Row],[L(mm)]]/2)</f>
        <v>1.4154760301354962E-6</v>
      </c>
      <c r="T49" s="123">
        <f>G49/(Table1123[pho (%)]*$AK$5*AH49*0.001)</f>
        <v>7.6342640714412412E-6</v>
      </c>
      <c r="U49" s="109">
        <f>Table1123[[#This Row],[M (KN.mm)]]/(Table1123[[#This Row],[b (mm)]]*Table1123[[#This Row],[d (mm)]]*Table1123[[#This Row],[pho (%)]])</f>
        <v>1.7789776277965255</v>
      </c>
      <c r="V49" s="109">
        <f>E49*224.8/(2*SQRT(Table1123[[#This Row],[fc (Mpa)]]*145.037)*Table1123[[#This Row],[b (mm)]]*Table1123[[#This Row],[d (mm)]]*(1/25.4)^2)</f>
        <v>2.240918623924423</v>
      </c>
      <c r="W49" s="110">
        <f>Table1123[[#This Row],[M (KN.mm)]]/$G$49</f>
        <v>1</v>
      </c>
      <c r="X49" s="123">
        <f t="shared" si="20"/>
        <v>2.240918623924423</v>
      </c>
      <c r="Y49" s="109">
        <f t="shared" si="11"/>
        <v>609.59999999999991</v>
      </c>
      <c r="Z49" s="109">
        <f t="shared" si="12"/>
        <v>266.7</v>
      </c>
      <c r="AA49" s="109">
        <f t="shared" si="13"/>
        <v>304.79999999999995</v>
      </c>
      <c r="AB49" s="109">
        <f t="shared" si="14"/>
        <v>228.6</v>
      </c>
      <c r="AC49" s="7">
        <v>18.600000000000001</v>
      </c>
      <c r="AD49" s="110">
        <f>Table1123[[#This Row],[pho (%)]]/100*Table1123[[#This Row],[b (mm)]]*Table1123[[#This Row],[h (mm)]]</f>
        <v>383.22503999999998</v>
      </c>
      <c r="AE49" s="111">
        <v>0.55000000000000004</v>
      </c>
      <c r="AF49" s="110">
        <v>640.5</v>
      </c>
      <c r="AG49" s="110">
        <f>(1/3-0.21*(MIN(Table1123[[#This Row],[b (mm)]],AA49)/MAX(Table1123[[#This Row],[b (mm)]],AA49))*(MIN(Table1123[[#This Row],[b (mm)]],AA49)^4/(12*MAX(Table1123[[#This Row],[b (mm)]],AA49)^4)))*MAX(Table1123[[#This Row],[b (mm)]],AA49)*MIN(Table1123[[#This Row],[b (mm)]],AA49)^3</f>
        <v>1198609576.1573534</v>
      </c>
      <c r="AH49" s="110">
        <f>Table1123[[#This Row],[b (mm)]]*AA49^3/12</f>
        <v>539435927.57759976</v>
      </c>
      <c r="AI49" s="110">
        <f t="shared" si="15"/>
        <v>1984.375</v>
      </c>
      <c r="AJ49"/>
      <c r="AK49"/>
    </row>
    <row r="50" spans="1:37" x14ac:dyDescent="0.25">
      <c r="A50" s="121" t="s">
        <v>74</v>
      </c>
      <c r="B50" s="109" t="s">
        <v>60</v>
      </c>
      <c r="C50" s="109">
        <v>49</v>
      </c>
      <c r="D50" s="123">
        <f>Table1123[[#This Row],[a (mm)]]/Table1123[[#This Row],[d (mm)]]</f>
        <v>2.2857142857142856</v>
      </c>
      <c r="E50" s="109">
        <v>68.054400000000015</v>
      </c>
      <c r="F50" s="124">
        <f>Table1123[[#This Row],[d (mm)]]</f>
        <v>266.7</v>
      </c>
      <c r="G50" s="109">
        <f t="shared" si="16"/>
        <v>41485.962240000001</v>
      </c>
      <c r="H50" s="109">
        <f t="shared" si="17"/>
        <v>2.9201060073262751E-6</v>
      </c>
      <c r="I50" s="109">
        <f>G50/(Table1123[[#This Row],[b (mm)]]*Z50^2)</f>
        <v>2.5514021096069406E-3</v>
      </c>
      <c r="J50" s="109">
        <f t="shared" si="18"/>
        <v>0.63373127411995545</v>
      </c>
      <c r="K50" s="109">
        <f t="shared" si="19"/>
        <v>1.8082097980279333E-6</v>
      </c>
      <c r="L50" s="109">
        <f>E50/(Table1123[[#This Row],[b (mm)]]*Z50)</f>
        <v>1.1162384229530368E-3</v>
      </c>
      <c r="M50" s="109">
        <f>Table1123[[#This Row],[M (KN.mm)]]/(Table1123[[#This Row],[b (mm)]]*Table1123[[#This Row],[d (mm)]])</f>
        <v>0.68045894263217099</v>
      </c>
      <c r="N50" s="109">
        <f>Table1123[[#This Row],[M (KN.mm)]]/(Table1123[[#This Row],[b (mm)]]*Table1123[[#This Row],[h (mm)]])</f>
        <v>0.5954015748031497</v>
      </c>
      <c r="O50" s="109">
        <f>Table1123[[#This Row],[M (KN.mm)]]/(Table1123[[#This Row],[b (mm)]]*Table1123[[#This Row],[h (mm)]]*Table1123[[#This Row],[L(mm)]])</f>
        <v>3.0004488808977627E-4</v>
      </c>
      <c r="P50" s="109">
        <f>Table1123[[#This Row],[M (KN.mm)]]/(Table1123[[#This Row],[b (mm)]]*Table1123[[#This Row],[d (mm)]]*Table1123[[#This Row],[L(mm)]])</f>
        <v>3.4290844353117284E-4</v>
      </c>
      <c r="Q50" s="109">
        <f>Table1123[[#This Row],[M (KN.mm)]]/(Table1123[[#This Row],[b (mm)]]*Table1123[[#This Row],[h (mm)]]*Table1123[[#This Row],[L(mm)]]*Table1123[[#This Row],[fc (Mpa)]])</f>
        <v>1.5546367258537627E-5</v>
      </c>
      <c r="R50" s="109">
        <f>Table1123[[#This Row],[M (KN.mm)]]/(Table1123[[#This Row],[b (mm)]]*Table1123[[#This Row],[h (mm)]]*Table1123[[#This Row],[L(mm)]]/2)</f>
        <v>6.0008977617955254E-4</v>
      </c>
      <c r="S50" s="109">
        <f>Table1123[[#This Row],[M (KN.mm)]]/(Table1123[[#This Row],[a (mm)]]*Table1123[[#This Row],[b (mm)]]*Table1123[[#This Row],[h (mm)]]*Table1123[[#This Row],[L(mm)]]/2)</f>
        <v>9.8439923913968605E-7</v>
      </c>
      <c r="T50" s="123">
        <f>G50/(Table1123[pho (%)]*$AK$5*AH50*0.001)</f>
        <v>5.3092836496841354E-6</v>
      </c>
      <c r="U50" s="109">
        <f>Table1123[[#This Row],[M (KN.mm)]]/(Table1123[[#This Row],[b (mm)]]*Table1123[[#This Row],[d (mm)]]*Table1123[[#This Row],[pho (%)]])</f>
        <v>1.2371980775130382</v>
      </c>
      <c r="V50" s="109">
        <f>E50*224.8/(2*SQRT(Table1123[[#This Row],[fc (Mpa)]]*145.037)*Table1123[[#This Row],[b (mm)]]*Table1123[[#This Row],[d (mm)]]*(1/25.4)^2)</f>
        <v>1.5299338500518322</v>
      </c>
      <c r="W50" s="110">
        <f>Table1123[[#This Row],[M (KN.mm)]]/$G$53</f>
        <v>0.66521739130434787</v>
      </c>
      <c r="X50" s="123">
        <f t="shared" si="20"/>
        <v>1.5299338500518322</v>
      </c>
      <c r="Y50" s="109">
        <f t="shared" si="11"/>
        <v>609.59999999999991</v>
      </c>
      <c r="Z50" s="109">
        <f t="shared" si="12"/>
        <v>266.7</v>
      </c>
      <c r="AA50" s="109">
        <f t="shared" si="13"/>
        <v>304.79999999999995</v>
      </c>
      <c r="AB50" s="109">
        <f t="shared" si="14"/>
        <v>228.6</v>
      </c>
      <c r="AC50" s="7">
        <v>19.3</v>
      </c>
      <c r="AD50" s="110">
        <f>Table1123[[#This Row],[pho (%)]]/100*Table1123[[#This Row],[b (mm)]]*Table1123[[#This Row],[h (mm)]]</f>
        <v>383.22503999999998</v>
      </c>
      <c r="AE50" s="111">
        <v>0.55000000000000004</v>
      </c>
      <c r="AF50" s="110">
        <v>640.5</v>
      </c>
      <c r="AG50" s="110">
        <f>(1/3-0.21*(MIN(Table1123[[#This Row],[b (mm)]],AA50)/MAX(Table1123[[#This Row],[b (mm)]],AA50))*(MIN(Table1123[[#This Row],[b (mm)]],AA50)^4/(12*MAX(Table1123[[#This Row],[b (mm)]],AA50)^4)))*MAX(Table1123[[#This Row],[b (mm)]],AA50)*MIN(Table1123[[#This Row],[b (mm)]],AA50)^3</f>
        <v>1198609576.1573534</v>
      </c>
      <c r="AH50" s="110">
        <f>Table1123[[#This Row],[b (mm)]]*AA50^3/12</f>
        <v>539435927.57759976</v>
      </c>
      <c r="AI50" s="110">
        <f t="shared" si="15"/>
        <v>1984.375</v>
      </c>
      <c r="AJ50"/>
      <c r="AK50"/>
    </row>
    <row r="51" spans="1:37" x14ac:dyDescent="0.25">
      <c r="A51" s="121" t="s">
        <v>74</v>
      </c>
      <c r="B51" s="109" t="s">
        <v>61</v>
      </c>
      <c r="C51" s="109">
        <v>50</v>
      </c>
      <c r="D51" s="123">
        <f>Table1123[[#This Row],[a (mm)]]/Table1123[[#This Row],[d (mm)]]</f>
        <v>2.2857142857142856</v>
      </c>
      <c r="E51" s="109">
        <v>81.398400000000009</v>
      </c>
      <c r="F51" s="124">
        <f>Table1123[[#This Row],[d (mm)]]</f>
        <v>266.7</v>
      </c>
      <c r="G51" s="109">
        <f t="shared" si="16"/>
        <v>49620.464639999998</v>
      </c>
      <c r="H51" s="109">
        <f t="shared" si="17"/>
        <v>3.4926758126843683E-6</v>
      </c>
      <c r="I51" s="109">
        <f>G51/(Table1123[[#This Row],[b (mm)]]*Z51^2)</f>
        <v>3.0516770330592815E-3</v>
      </c>
      <c r="J51" s="109">
        <f t="shared" si="18"/>
        <v>0.75799230826112307</v>
      </c>
      <c r="K51" s="109">
        <f t="shared" si="19"/>
        <v>2.1627607388177239E-6</v>
      </c>
      <c r="L51" s="109">
        <f>E51/(Table1123[[#This Row],[b (mm)]]*Z51)</f>
        <v>1.3351087019634359E-3</v>
      </c>
      <c r="M51" s="109">
        <f>Table1123[[#This Row],[M (KN.mm)]]/(Table1123[[#This Row],[b (mm)]]*Table1123[[#This Row],[d (mm)]])</f>
        <v>0.81388226471691039</v>
      </c>
      <c r="N51" s="109">
        <f>Table1123[[#This Row],[M (KN.mm)]]/(Table1123[[#This Row],[b (mm)]]*Table1123[[#This Row],[h (mm)]])</f>
        <v>0.71214698162729673</v>
      </c>
      <c r="O51" s="109">
        <f>Table1123[[#This Row],[M (KN.mm)]]/(Table1123[[#This Row],[b (mm)]]*Table1123[[#This Row],[h (mm)]]*Table1123[[#This Row],[L(mm)]])</f>
        <v>3.5887721908777159E-4</v>
      </c>
      <c r="P51" s="109">
        <f>Table1123[[#This Row],[M (KN.mm)]]/(Table1123[[#This Row],[b (mm)]]*Table1123[[#This Row],[d (mm)]]*Table1123[[#This Row],[L(mm)]])</f>
        <v>4.1014539324316746E-4</v>
      </c>
      <c r="Q51" s="109">
        <f>Table1123[[#This Row],[M (KN.mm)]]/(Table1123[[#This Row],[b (mm)]]*Table1123[[#This Row],[h (mm)]]*Table1123[[#This Row],[L(mm)]]*Table1123[[#This Row],[fc (Mpa)]])</f>
        <v>1.8594674564133242E-5</v>
      </c>
      <c r="R51" s="109">
        <f>Table1123[[#This Row],[M (KN.mm)]]/(Table1123[[#This Row],[b (mm)]]*Table1123[[#This Row],[h (mm)]]*Table1123[[#This Row],[L(mm)]]/2)</f>
        <v>7.1775443817554318E-4</v>
      </c>
      <c r="S51" s="109">
        <f>Table1123[[#This Row],[M (KN.mm)]]/(Table1123[[#This Row],[a (mm)]]*Table1123[[#This Row],[b (mm)]]*Table1123[[#This Row],[h (mm)]]*Table1123[[#This Row],[L(mm)]]/2)</f>
        <v>1.1774186977945263E-6</v>
      </c>
      <c r="T51" s="123">
        <f>G51/(Table1123[pho (%)]*$AK$5*AH51*0.001)</f>
        <v>6.3503196594261231E-6</v>
      </c>
      <c r="U51" s="109">
        <f>Table1123[[#This Row],[M (KN.mm)]]/(Table1123[[#This Row],[b (mm)]]*Table1123[[#This Row],[d (mm)]]*Table1123[[#This Row],[pho (%)]])</f>
        <v>1.479785935848928</v>
      </c>
      <c r="V51" s="109">
        <f>E51*224.8/(2*SQRT(Table1123[[#This Row],[fc (Mpa)]]*145.037)*Table1123[[#This Row],[b (mm)]]*Table1123[[#This Row],[d (mm)]]*(1/25.4)^2)</f>
        <v>1.8299208794737598</v>
      </c>
      <c r="W51" s="110">
        <f>Table1123[[#This Row],[M (KN.mm)]]/$G$53</f>
        <v>0.79565217391304355</v>
      </c>
      <c r="X51" s="123">
        <f t="shared" si="20"/>
        <v>1.8299208794737598</v>
      </c>
      <c r="Y51" s="109">
        <f t="shared" si="11"/>
        <v>609.59999999999991</v>
      </c>
      <c r="Z51" s="109">
        <f t="shared" si="12"/>
        <v>266.7</v>
      </c>
      <c r="AA51" s="109">
        <f t="shared" si="13"/>
        <v>304.79999999999995</v>
      </c>
      <c r="AB51" s="109">
        <f t="shared" si="14"/>
        <v>228.6</v>
      </c>
      <c r="AC51" s="7">
        <v>19.3</v>
      </c>
      <c r="AD51" s="110">
        <f>Table1123[[#This Row],[pho (%)]]/100*Table1123[[#This Row],[b (mm)]]*Table1123[[#This Row],[h (mm)]]</f>
        <v>383.22503999999998</v>
      </c>
      <c r="AE51" s="111">
        <v>0.55000000000000004</v>
      </c>
      <c r="AF51" s="110">
        <v>640.5</v>
      </c>
      <c r="AG51" s="110">
        <f>(1/3-0.21*(MIN(Table1123[[#This Row],[b (mm)]],AA51)/MAX(Table1123[[#This Row],[b (mm)]],AA51))*(MIN(Table1123[[#This Row],[b (mm)]],AA51)^4/(12*MAX(Table1123[[#This Row],[b (mm)]],AA51)^4)))*MAX(Table1123[[#This Row],[b (mm)]],AA51)*MIN(Table1123[[#This Row],[b (mm)]],AA51)^3</f>
        <v>1198609576.1573534</v>
      </c>
      <c r="AH51" s="110">
        <f>Table1123[[#This Row],[b (mm)]]*AA51^3/12</f>
        <v>539435927.57759976</v>
      </c>
      <c r="AI51" s="110">
        <f t="shared" si="15"/>
        <v>1984.375</v>
      </c>
      <c r="AJ51"/>
      <c r="AK51"/>
    </row>
    <row r="52" spans="1:37" x14ac:dyDescent="0.25">
      <c r="A52" s="121" t="s">
        <v>74</v>
      </c>
      <c r="B52" s="109" t="s">
        <v>62</v>
      </c>
      <c r="C52" s="109">
        <v>51</v>
      </c>
      <c r="D52" s="123">
        <f>Table1123[[#This Row],[a (mm)]]/Table1123[[#This Row],[d (mm)]]</f>
        <v>2.2857142857142856</v>
      </c>
      <c r="E52" s="109">
        <v>95.187200000000004</v>
      </c>
      <c r="F52" s="124">
        <f>Table1123[[#This Row],[d (mm)]]</f>
        <v>266.7</v>
      </c>
      <c r="G52" s="109">
        <f t="shared" si="16"/>
        <v>58026.117119999995</v>
      </c>
      <c r="H52" s="109">
        <f t="shared" si="17"/>
        <v>4.0843312782210639E-6</v>
      </c>
      <c r="I52" s="109">
        <f>G52/(Table1123[[#This Row],[b (mm)]]*Z52^2)</f>
        <v>3.5686277872933676E-3</v>
      </c>
      <c r="J52" s="109">
        <f t="shared" si="18"/>
        <v>0.8863953768736631</v>
      </c>
      <c r="K52" s="109">
        <f t="shared" si="19"/>
        <v>2.5291300443005076E-6</v>
      </c>
      <c r="L52" s="109">
        <f>E52/(Table1123[[#This Row],[b (mm)]]*Z52)</f>
        <v>1.5612746569408484E-3</v>
      </c>
      <c r="M52" s="109">
        <f>Table1123[[#This Row],[M (KN.mm)]]/(Table1123[[#This Row],[b (mm)]]*Table1123[[#This Row],[d (mm)]])</f>
        <v>0.95175303087114116</v>
      </c>
      <c r="N52" s="109">
        <f>Table1123[[#This Row],[M (KN.mm)]]/(Table1123[[#This Row],[b (mm)]]*Table1123[[#This Row],[h (mm)]])</f>
        <v>0.83278390201224861</v>
      </c>
      <c r="O52" s="109">
        <f>Table1123[[#This Row],[M (KN.mm)]]/(Table1123[[#This Row],[b (mm)]]*Table1123[[#This Row],[h (mm)]]*Table1123[[#This Row],[L(mm)]])</f>
        <v>4.1967062778570008E-4</v>
      </c>
      <c r="P52" s="109">
        <f>Table1123[[#This Row],[M (KN.mm)]]/(Table1123[[#This Row],[b (mm)]]*Table1123[[#This Row],[d (mm)]]*Table1123[[#This Row],[L(mm)]])</f>
        <v>4.7962357461222861E-4</v>
      </c>
      <c r="Q52" s="109">
        <f>Table1123[[#This Row],[M (KN.mm)]]/(Table1123[[#This Row],[b (mm)]]*Table1123[[#This Row],[h (mm)]]*Table1123[[#This Row],[L(mm)]]*Table1123[[#This Row],[fc (Mpa)]])</f>
        <v>2.1744592113248708E-5</v>
      </c>
      <c r="R52" s="109">
        <f>Table1123[[#This Row],[M (KN.mm)]]/(Table1123[[#This Row],[b (mm)]]*Table1123[[#This Row],[h (mm)]]*Table1123[[#This Row],[L(mm)]]/2)</f>
        <v>8.3934125557140016E-4</v>
      </c>
      <c r="S52" s="109">
        <f>Table1123[[#This Row],[M (KN.mm)]]/(Table1123[[#This Row],[a (mm)]]*Table1123[[#This Row],[b (mm)]]*Table1123[[#This Row],[h (mm)]]*Table1123[[#This Row],[L(mm)]]/2)</f>
        <v>1.3768721384045279E-6</v>
      </c>
      <c r="T52" s="123">
        <f>G52/(Table1123[pho (%)]*$AK$5*AH52*0.001)</f>
        <v>7.4260568694928428E-6</v>
      </c>
      <c r="U52" s="109">
        <f>Table1123[[#This Row],[M (KN.mm)]]/(Table1123[[#This Row],[b (mm)]]*Table1123[[#This Row],[d (mm)]]*Table1123[[#This Row],[pho (%)]])</f>
        <v>1.7304600561293473</v>
      </c>
      <c r="V52" s="109">
        <f>E52*224.8/(2*SQRT(Table1123[[#This Row],[fc (Mpa)]]*145.037)*Table1123[[#This Row],[b (mm)]]*Table1123[[#This Row],[d (mm)]]*(1/25.4)^2)</f>
        <v>2.139907476543085</v>
      </c>
      <c r="W52" s="110">
        <f>Table1123[[#This Row],[M (KN.mm)]]/$G$53</f>
        <v>0.93043478260869572</v>
      </c>
      <c r="X52" s="123">
        <f t="shared" si="20"/>
        <v>2.139907476543085</v>
      </c>
      <c r="Y52" s="109">
        <f t="shared" si="11"/>
        <v>609.59999999999991</v>
      </c>
      <c r="Z52" s="109">
        <f t="shared" si="12"/>
        <v>266.7</v>
      </c>
      <c r="AA52" s="109">
        <f t="shared" si="13"/>
        <v>304.79999999999995</v>
      </c>
      <c r="AB52" s="109">
        <f t="shared" si="14"/>
        <v>228.6</v>
      </c>
      <c r="AC52" s="7">
        <v>19.3</v>
      </c>
      <c r="AD52" s="110">
        <f>Table1123[[#This Row],[pho (%)]]/100*Table1123[[#This Row],[b (mm)]]*Table1123[[#This Row],[h (mm)]]</f>
        <v>383.22503999999998</v>
      </c>
      <c r="AE52" s="111">
        <v>0.55000000000000004</v>
      </c>
      <c r="AF52" s="110">
        <v>640.5</v>
      </c>
      <c r="AG52" s="110">
        <f>(1/3-0.21*(MIN(Table1123[[#This Row],[b (mm)]],AA52)/MAX(Table1123[[#This Row],[b (mm)]],AA52))*(MIN(Table1123[[#This Row],[b (mm)]],AA52)^4/(12*MAX(Table1123[[#This Row],[b (mm)]],AA52)^4)))*MAX(Table1123[[#This Row],[b (mm)]],AA52)*MIN(Table1123[[#This Row],[b (mm)]],AA52)^3</f>
        <v>1198609576.1573534</v>
      </c>
      <c r="AH52" s="110">
        <f>Table1123[[#This Row],[b (mm)]]*AA52^3/12</f>
        <v>539435927.57759976</v>
      </c>
      <c r="AI52" s="110">
        <f t="shared" si="15"/>
        <v>1984.375</v>
      </c>
      <c r="AJ52"/>
      <c r="AK52"/>
    </row>
    <row r="53" spans="1:37" x14ac:dyDescent="0.25">
      <c r="A53" s="122" t="s">
        <v>74</v>
      </c>
      <c r="B53" s="109" t="s">
        <v>63</v>
      </c>
      <c r="C53" s="109">
        <v>52</v>
      </c>
      <c r="D53" s="123">
        <f>Table1123[[#This Row],[a (mm)]]/Table1123[[#This Row],[d (mm)]]</f>
        <v>2.2857142857142856</v>
      </c>
      <c r="E53" s="109">
        <v>102.304</v>
      </c>
      <c r="F53" s="124">
        <f>Table1123[[#This Row],[d (mm)]]</f>
        <v>266.7</v>
      </c>
      <c r="G53" s="109">
        <f t="shared" si="16"/>
        <v>62364.518399999994</v>
      </c>
      <c r="H53" s="109">
        <f t="shared" si="17"/>
        <v>4.3897018410787138E-6</v>
      </c>
      <c r="I53" s="109">
        <f>G53/(Table1123[[#This Row],[b (mm)]]*Z53^2)</f>
        <v>3.8354410798012825E-3</v>
      </c>
      <c r="J53" s="109">
        <f t="shared" si="18"/>
        <v>0.9526679284156192</v>
      </c>
      <c r="K53" s="109">
        <f t="shared" si="19"/>
        <v>2.7182238793883959E-6</v>
      </c>
      <c r="L53" s="109">
        <f>E53/(Table1123[[#This Row],[b (mm)]]*Z53)</f>
        <v>1.6780054724130614E-3</v>
      </c>
      <c r="M53" s="109">
        <f>Table1123[[#This Row],[M (KN.mm)]]/(Table1123[[#This Row],[b (mm)]]*Table1123[[#This Row],[d (mm)]])</f>
        <v>1.022912135983002</v>
      </c>
      <c r="N53" s="109">
        <f>Table1123[[#This Row],[M (KN.mm)]]/(Table1123[[#This Row],[b (mm)]]*Table1123[[#This Row],[h (mm)]])</f>
        <v>0.89504811898512693</v>
      </c>
      <c r="O53" s="109">
        <f>Table1123[[#This Row],[M (KN.mm)]]/(Table1123[[#This Row],[b (mm)]]*Table1123[[#This Row],[h (mm)]]*Table1123[[#This Row],[L(mm)]])</f>
        <v>4.5104787098463093E-4</v>
      </c>
      <c r="P53" s="109">
        <f>Table1123[[#This Row],[M (KN.mm)]]/(Table1123[[#This Row],[b (mm)]]*Table1123[[#This Row],[d (mm)]]*Table1123[[#This Row],[L(mm)]])</f>
        <v>5.1548328112529238E-4</v>
      </c>
      <c r="Q53" s="109">
        <f>Table1123[[#This Row],[M (KN.mm)]]/(Table1123[[#This Row],[b (mm)]]*Table1123[[#This Row],[h (mm)]]*Table1123[[#This Row],[L(mm)]]*Table1123[[#This Row],[fc (Mpa)]])</f>
        <v>2.3370356009566368E-5</v>
      </c>
      <c r="R53" s="109">
        <f>Table1123[[#This Row],[M (KN.mm)]]/(Table1123[[#This Row],[b (mm)]]*Table1123[[#This Row],[h (mm)]]*Table1123[[#This Row],[L(mm)]]/2)</f>
        <v>9.0209574196926186E-4</v>
      </c>
      <c r="S53" s="109">
        <f>Table1123[[#This Row],[M (KN.mm)]]/(Table1123[[#This Row],[a (mm)]]*Table1123[[#This Row],[b (mm)]]*Table1123[[#This Row],[h (mm)]]*Table1123[[#This Row],[L(mm)]]/2)</f>
        <v>1.4798158496871095E-6</v>
      </c>
      <c r="T53" s="123">
        <f>G53/(Table1123[pho (%)]*$AK$5*AH53*0.001)</f>
        <v>7.9812760746885687E-6</v>
      </c>
      <c r="U53" s="109">
        <f>Table1123[[#This Row],[M (KN.mm)]]/(Table1123[[#This Row],[b (mm)]]*Table1123[[#This Row],[d (mm)]]*Table1123[[#This Row],[pho (%)]])</f>
        <v>1.8598402472418218</v>
      </c>
      <c r="V53" s="109">
        <f>E53*224.8/(2*SQRT(Table1123[[#This Row],[fc (Mpa)]]*145.037)*Table1123[[#This Row],[b (mm)]]*Table1123[[#This Row],[d (mm)]]*(1/25.4)^2)</f>
        <v>2.2999005589014465</v>
      </c>
      <c r="W53" s="110">
        <f>Table1123[[#This Row],[M (KN.mm)]]/$G$53</f>
        <v>1</v>
      </c>
      <c r="X53" s="123">
        <f>V53</f>
        <v>2.2999005589014465</v>
      </c>
      <c r="Y53" s="109">
        <f t="shared" si="11"/>
        <v>609.59999999999991</v>
      </c>
      <c r="Z53" s="109">
        <f t="shared" si="12"/>
        <v>266.7</v>
      </c>
      <c r="AA53" s="109">
        <f t="shared" si="13"/>
        <v>304.79999999999995</v>
      </c>
      <c r="AB53" s="109">
        <f t="shared" si="14"/>
        <v>228.6</v>
      </c>
      <c r="AC53" s="7">
        <v>19.3</v>
      </c>
      <c r="AD53" s="110">
        <f>Table1123[[#This Row],[pho (%)]]/100*Table1123[[#This Row],[b (mm)]]*Table1123[[#This Row],[h (mm)]]</f>
        <v>383.22503999999998</v>
      </c>
      <c r="AE53" s="111">
        <v>0.55000000000000004</v>
      </c>
      <c r="AF53" s="110">
        <v>640.5</v>
      </c>
      <c r="AG53" s="110">
        <f>(1/3-0.21*(MIN(Table1123[[#This Row],[b (mm)]],AA53)/MAX(Table1123[[#This Row],[b (mm)]],AA53))*(MIN(Table1123[[#This Row],[b (mm)]],AA53)^4/(12*MAX(Table1123[[#This Row],[b (mm)]],AA53)^4)))*MAX(Table1123[[#This Row],[b (mm)]],AA53)*MIN(Table1123[[#This Row],[b (mm)]],AA53)^3</f>
        <v>1198609576.1573534</v>
      </c>
      <c r="AH53" s="110">
        <f>Table1123[[#This Row],[b (mm)]]*AA53^3/12</f>
        <v>539435927.57759976</v>
      </c>
      <c r="AI53" s="110">
        <f t="shared" si="15"/>
        <v>1984.375</v>
      </c>
      <c r="AJ53"/>
      <c r="AK53"/>
    </row>
    <row r="54" spans="1:37" x14ac:dyDescent="0.25">
      <c r="AB54"/>
      <c r="AJ54"/>
      <c r="AK54"/>
    </row>
    <row r="55" spans="1:37" x14ac:dyDescent="0.25">
      <c r="AJ55"/>
      <c r="AK55"/>
    </row>
    <row r="56" spans="1:37" x14ac:dyDescent="0.25">
      <c r="AJ56"/>
      <c r="AK56"/>
    </row>
    <row r="57" spans="1:37" x14ac:dyDescent="0.25">
      <c r="AJ57"/>
      <c r="AK5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57"/>
  <sheetViews>
    <sheetView zoomScaleNormal="100" workbookViewId="0">
      <selection activeCell="U3" sqref="U3"/>
    </sheetView>
  </sheetViews>
  <sheetFormatPr defaultRowHeight="15" x14ac:dyDescent="0.25"/>
  <cols>
    <col min="1" max="1" width="6.28515625" style="2" customWidth="1"/>
    <col min="2" max="2" width="8.28515625" style="2" customWidth="1"/>
    <col min="3" max="3" width="7.42578125" style="2" customWidth="1"/>
    <col min="4" max="4" width="15" style="2" customWidth="1"/>
    <col min="5" max="5" width="10.85546875" style="2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3.140625" style="2" customWidth="1"/>
    <col min="11" max="11" width="8.85546875" style="2" customWidth="1"/>
    <col min="12" max="12" width="8.42578125" style="2" customWidth="1"/>
    <col min="13" max="17" width="10" style="2" customWidth="1"/>
    <col min="18" max="23" width="14.7109375" style="2" customWidth="1"/>
    <col min="24" max="24" width="16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style="2" customWidth="1"/>
    <col min="37" max="37" width="15.7109375" style="2" customWidth="1"/>
    <col min="40" max="16384" width="9.140625" style="2"/>
  </cols>
  <sheetData>
    <row r="1" spans="1:39" ht="80.25" customHeight="1" x14ac:dyDescent="0.25">
      <c r="A1" s="74" t="s">
        <v>59</v>
      </c>
      <c r="B1" s="74" t="s">
        <v>57</v>
      </c>
      <c r="C1" s="74" t="s">
        <v>58</v>
      </c>
      <c r="D1" s="74" t="s">
        <v>194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t="s">
        <v>50</v>
      </c>
      <c r="AK1" t="s">
        <v>75</v>
      </c>
      <c r="AL1" t="s">
        <v>80</v>
      </c>
      <c r="AM1" t="s">
        <v>89</v>
      </c>
    </row>
    <row r="2" spans="1:39" x14ac:dyDescent="0.25">
      <c r="A2" s="130" t="s">
        <v>69</v>
      </c>
      <c r="B2" s="110" t="s">
        <v>60</v>
      </c>
      <c r="C2" s="110">
        <v>17</v>
      </c>
      <c r="D2" s="110">
        <f>Table11234[[#This Row],[a (mm)]]/Table11234[[#This Row],[d (mm)]]</f>
        <v>2.2857142857142856</v>
      </c>
      <c r="E2" s="110">
        <v>70.723200000000006</v>
      </c>
      <c r="F2" s="127">
        <f>Table11234[[#This Row],[d (mm)]]</f>
        <v>266.7</v>
      </c>
      <c r="G2" s="110">
        <f t="shared" ref="G2:G33" si="0">E2*Y2</f>
        <v>43112.862719999997</v>
      </c>
      <c r="H2" s="110">
        <f t="shared" ref="H2:H33" si="1">G2/($AK$5*AH2*0.001)</f>
        <v>3.0346199683978935E-6</v>
      </c>
      <c r="I2" s="110">
        <f>G2/(Table11234[[#This Row],[b (mm)]]*Z2^2)</f>
        <v>2.6514570942974087E-3</v>
      </c>
      <c r="J2" s="110">
        <f t="shared" ref="J2:J33" si="2">G2/(AD2*AF2*Z2*0.001)</f>
        <v>0.41149421475691655</v>
      </c>
      <c r="K2" s="110">
        <f t="shared" ref="K2:K33" si="3">E2/($AK$4*AG2*0.001)</f>
        <v>1.8791199861858911E-6</v>
      </c>
      <c r="L2" s="110">
        <f>E2/(Table11234[[#This Row],[b (mm)]]*Z2)</f>
        <v>1.1600124787551165E-3</v>
      </c>
      <c r="M2" s="110">
        <f>Table11234[[#This Row],[M (KN.mm)]]/(Table11234[[#This Row],[b (mm)]]*Table11234[[#This Row],[d (mm)]])</f>
        <v>0.70714360704911883</v>
      </c>
      <c r="N2" s="110">
        <f>Table11234[[#This Row],[M (KN.mm)]]/(Table11234[[#This Row],[b (mm)]]*Table11234[[#This Row],[h (mm)]])</f>
        <v>0.61875065616797909</v>
      </c>
      <c r="O2" s="110">
        <f>Table11234[[#This Row],[M (KN.mm)]]/(Table11234[[#This Row],[b (mm)]]*Table11234[[#This Row],[h (mm)]]*Table11234[[#This Row],[L(mm)]])</f>
        <v>3.1181135428937529E-4</v>
      </c>
      <c r="P2" s="110">
        <f>Table11234[[#This Row],[M (KN.mm)]]/(Table11234[[#This Row],[b (mm)]]*Table11234[[#This Row],[d (mm)]]*Table11234[[#This Row],[L(mm)]])</f>
        <v>3.5635583347357172E-4</v>
      </c>
      <c r="Q2" s="110">
        <f>Table11234[[#This Row],[M (KN.mm)]]/(Table11234[[#This Row],[b (mm)]]*Table11234[[#This Row],[h (mm)]]*Table11234[[#This Row],[L(mm)]]*Table11234[[#This Row],[fc (Mpa)]])</f>
        <v>1.2562907102714556E-5</v>
      </c>
      <c r="R2" s="110">
        <f>Table11234[[#This Row],[M (KN.mm)]]/(Table11234[[#This Row],[b (mm)]]*Table11234[[#This Row],[h (mm)]]*Table11234[[#This Row],[L(mm)]]/2)</f>
        <v>6.2362270857875058E-4</v>
      </c>
      <c r="S2" s="110">
        <f>Table11234[[#This Row],[M (KN.mm)]]/(Table11234[[#This Row],[a (mm)]]*Table11234[[#This Row],[b (mm)]]*Table11234[[#This Row],[h (mm)]]*Table11234[[#This Row],[L(mm)]]/2)</f>
        <v>1.0230031308706541E-6</v>
      </c>
      <c r="T2" s="110">
        <f>G2/($AK$5*AH2*0.001*Table11234[[#This Row],[pho (%)]])</f>
        <v>3.5701411392916396E-6</v>
      </c>
      <c r="U2" s="110">
        <f>Table11234[[#This Row],[M (KN.mm)]]/(Table11234[[#This Row],[b (mm)]]*Table11234[[#This Row],[d (mm)]]*Table11234[[#This Row],[pho (%)]])</f>
        <v>0.83193365535190467</v>
      </c>
      <c r="V2" s="110">
        <f>E2*224.8/(2*SQRT(Table11234[[#This Row],[fc (Mpa)]]*145.037)*Table11234[[#This Row],[b (mm)]]*Table11234[[#This Row],[d (mm)]]*(1/25.4)^2)</f>
        <v>1.4020261468316235</v>
      </c>
      <c r="W2" s="110">
        <f>Table11234[[#This Row],[M (KN.mm)]]/$G$8</f>
        <v>0.46764705882352942</v>
      </c>
      <c r="X2" s="110">
        <f>V2</f>
        <v>1.4020261468316235</v>
      </c>
      <c r="Y2" s="110">
        <f t="shared" ref="Y2:Y33" si="4">24*25.4</f>
        <v>609.59999999999991</v>
      </c>
      <c r="Z2" s="110">
        <f t="shared" ref="Z2:Z33" si="5">10.5*25.4</f>
        <v>266.7</v>
      </c>
      <c r="AA2" s="110">
        <f t="shared" ref="AA2:AA33" si="6">12*25.4</f>
        <v>304.79999999999995</v>
      </c>
      <c r="AB2" s="110">
        <f t="shared" ref="AB2:AB33" si="7">9*25.4</f>
        <v>228.6</v>
      </c>
      <c r="AC2" s="7">
        <v>24.82</v>
      </c>
      <c r="AD2" s="110">
        <f>Table11234[[#This Row],[pho (%)]]/100*Table11234[[#This Row],[b (mm)]]*Table11234[[#This Row],[h (mm)]]</f>
        <v>592.25687999999991</v>
      </c>
      <c r="AE2" s="111">
        <v>0.85</v>
      </c>
      <c r="AF2" s="110">
        <v>663.3</v>
      </c>
      <c r="AG2" s="110">
        <f>(1/3-0.21*(MIN(Table11234[[#This Row],[b (mm)]],AA2)/MAX(Table11234[[#This Row],[b (mm)]],AA2))*(MIN(Table11234[[#This Row],[b (mm)]],AA2)^4/(12*MAX(Table11234[[#This Row],[b (mm)]],AA2)^4)))*MAX(Table11234[[#This Row],[b (mm)]],AA2)*MIN(Table11234[[#This Row],[b (mm)]],AA2)^3</f>
        <v>1198609576.1573534</v>
      </c>
      <c r="AH2" s="110">
        <f>Table11234[[#This Row],[b (mm)]]*AA2^3/12</f>
        <v>539435927.57759976</v>
      </c>
      <c r="AI2" s="110">
        <f t="shared" ref="AI2:AI33" si="8">78.125*25.4</f>
        <v>1984.375</v>
      </c>
      <c r="AJ2" s="106" t="s">
        <v>22</v>
      </c>
      <c r="AK2" s="107">
        <v>1250</v>
      </c>
    </row>
    <row r="3" spans="1:39" x14ac:dyDescent="0.25">
      <c r="A3" s="130" t="s">
        <v>69</v>
      </c>
      <c r="B3" s="110" t="s">
        <v>61</v>
      </c>
      <c r="C3" s="110">
        <v>18</v>
      </c>
      <c r="D3" s="110">
        <f>Table11234[[#This Row],[a (mm)]]/Table11234[[#This Row],[d (mm)]]</f>
        <v>2.2857142857142856</v>
      </c>
      <c r="E3" s="110">
        <v>83.177599999999998</v>
      </c>
      <c r="F3" s="127">
        <f>Table11234[[#This Row],[d (mm)]]</f>
        <v>266.7</v>
      </c>
      <c r="G3" s="110">
        <f t="shared" si="0"/>
        <v>50705.064959999989</v>
      </c>
      <c r="H3" s="110">
        <f t="shared" si="1"/>
        <v>3.5690184533987801E-6</v>
      </c>
      <c r="I3" s="110">
        <f>G3/(Table11234[[#This Row],[b (mm)]]*Z3^2)</f>
        <v>3.1183803561862598E-3</v>
      </c>
      <c r="J3" s="110">
        <f t="shared" si="2"/>
        <v>0.48395860477700237</v>
      </c>
      <c r="K3" s="110">
        <f t="shared" si="3"/>
        <v>2.2100341975896957E-6</v>
      </c>
      <c r="L3" s="110">
        <f>E3/(Table11234[[#This Row],[b (mm)]]*Z3)</f>
        <v>1.364291405831489E-3</v>
      </c>
      <c r="M3" s="110">
        <f>Table11234[[#This Row],[M (KN.mm)]]/(Table11234[[#This Row],[b (mm)]]*Table11234[[#This Row],[d (mm)]])</f>
        <v>0.83167204099487557</v>
      </c>
      <c r="N3" s="110">
        <f>Table11234[[#This Row],[M (KN.mm)]]/(Table11234[[#This Row],[b (mm)]]*Table11234[[#This Row],[h (mm)]])</f>
        <v>0.72771303587051617</v>
      </c>
      <c r="O3" s="110">
        <f>Table11234[[#This Row],[M (KN.mm)]]/(Table11234[[#This Row],[b (mm)]]*Table11234[[#This Row],[h (mm)]]*Table11234[[#This Row],[L(mm)]])</f>
        <v>3.6672152988750424E-4</v>
      </c>
      <c r="P3" s="110">
        <f>Table11234[[#This Row],[M (KN.mm)]]/(Table11234[[#This Row],[b (mm)]]*Table11234[[#This Row],[d (mm)]]*Table11234[[#This Row],[L(mm)]])</f>
        <v>4.1911031987143337E-4</v>
      </c>
      <c r="Q3" s="110">
        <f>Table11234[[#This Row],[M (KN.mm)]]/(Table11234[[#This Row],[b (mm)]]*Table11234[[#This Row],[h (mm)]]*Table11234[[#This Row],[L(mm)]]*Table11234[[#This Row],[fc (Mpa)]])</f>
        <v>1.4775242944702023E-5</v>
      </c>
      <c r="R3" s="110">
        <f>Table11234[[#This Row],[M (KN.mm)]]/(Table11234[[#This Row],[b (mm)]]*Table11234[[#This Row],[h (mm)]]*Table11234[[#This Row],[L(mm)]]/2)</f>
        <v>7.3344305977500847E-4</v>
      </c>
      <c r="S3" s="110">
        <f>Table11234[[#This Row],[M (KN.mm)]]/(Table11234[[#This Row],[a (mm)]]*Table11234[[#This Row],[b (mm)]]*Table11234[[#This Row],[h (mm)]]*Table11234[[#This Row],[L(mm)]]/2)</f>
        <v>1.2031546256151715E-6</v>
      </c>
      <c r="T3" s="110">
        <f>G3/($AK$5*AH3*0.001*Table11234[[#This Row],[pho (%)]])</f>
        <v>4.1988452392926827E-6</v>
      </c>
      <c r="U3" s="110">
        <f>Table11234[[#This Row],[M (KN.mm)]]/(Table11234[[#This Row],[b (mm)]]*Table11234[[#This Row],[d (mm)]]*Table11234[[#This Row],[pho (%)]])</f>
        <v>0.97843769528808888</v>
      </c>
      <c r="V3" s="110">
        <f>E3*224.8/(2*SQRT(Table11234[[#This Row],[fc (Mpa)]]*145.037)*Table11234[[#This Row],[b (mm)]]*Table11234[[#This Row],[d (mm)]]*(1/25.4)^2)</f>
        <v>1.6489238330661229</v>
      </c>
      <c r="W3" s="110">
        <f>Table11234[[#This Row],[M (KN.mm)]]/$G$8</f>
        <v>0.54999999999999993</v>
      </c>
      <c r="X3" s="110">
        <f t="shared" ref="X3:X37" si="9">V3</f>
        <v>1.6489238330661229</v>
      </c>
      <c r="Y3" s="110">
        <f t="shared" si="4"/>
        <v>609.59999999999991</v>
      </c>
      <c r="Z3" s="110">
        <f t="shared" si="5"/>
        <v>266.7</v>
      </c>
      <c r="AA3" s="110">
        <f t="shared" si="6"/>
        <v>304.79999999999995</v>
      </c>
      <c r="AB3" s="110">
        <f t="shared" si="7"/>
        <v>228.6</v>
      </c>
      <c r="AC3" s="7">
        <v>24.82</v>
      </c>
      <c r="AD3" s="110">
        <f>Table11234[[#This Row],[pho (%)]]/100*Table11234[[#This Row],[b (mm)]]*Table11234[[#This Row],[h (mm)]]</f>
        <v>592.25687999999991</v>
      </c>
      <c r="AE3" s="111">
        <v>0.85</v>
      </c>
      <c r="AF3" s="110">
        <v>663.3</v>
      </c>
      <c r="AG3" s="110">
        <f>(1/3-0.21*(MIN(Table11234[[#This Row],[b (mm)]],AA3)/MAX(Table11234[[#This Row],[b (mm)]],AA3))*(MIN(Table11234[[#This Row],[b (mm)]],AA3)^4/(12*MAX(Table11234[[#This Row],[b (mm)]],AA3)^4)))*MAX(Table11234[[#This Row],[b (mm)]],AA3)*MIN(Table11234[[#This Row],[b (mm)]],AA3)^3</f>
        <v>1198609576.1573534</v>
      </c>
      <c r="AH3" s="110">
        <f>Table11234[[#This Row],[b (mm)]]*AA3^3/12</f>
        <v>539435927.57759976</v>
      </c>
      <c r="AI3" s="110">
        <f t="shared" si="8"/>
        <v>1984.375</v>
      </c>
      <c r="AJ3" s="106" t="s">
        <v>6</v>
      </c>
      <c r="AK3" s="107">
        <v>200</v>
      </c>
    </row>
    <row r="4" spans="1:39" x14ac:dyDescent="0.25">
      <c r="A4" s="130" t="s">
        <v>69</v>
      </c>
      <c r="B4" s="110" t="s">
        <v>62</v>
      </c>
      <c r="C4" s="110">
        <v>19</v>
      </c>
      <c r="D4" s="110">
        <f>Table11234[[#This Row],[a (mm)]]/Table11234[[#This Row],[d (mm)]]</f>
        <v>2.2857142857142856</v>
      </c>
      <c r="E4" s="110">
        <v>95.187200000000004</v>
      </c>
      <c r="F4" s="127">
        <f>Table11234[[#This Row],[d (mm)]]</f>
        <v>266.7</v>
      </c>
      <c r="G4" s="110">
        <f t="shared" si="0"/>
        <v>58026.117119999995</v>
      </c>
      <c r="H4" s="110">
        <f t="shared" si="1"/>
        <v>4.0843312782210639E-6</v>
      </c>
      <c r="I4" s="110">
        <f>G4/(Table11234[[#This Row],[b (mm)]]*Z4^2)</f>
        <v>3.5686277872933676E-3</v>
      </c>
      <c r="J4" s="110">
        <f t="shared" si="2"/>
        <v>0.55383498086779959</v>
      </c>
      <c r="K4" s="110">
        <f t="shared" si="3"/>
        <v>2.5291300443005076E-6</v>
      </c>
      <c r="L4" s="110">
        <f>E4/(Table11234[[#This Row],[b (mm)]]*Z4)</f>
        <v>1.5612746569408484E-3</v>
      </c>
      <c r="M4" s="110">
        <f>Table11234[[#This Row],[M (KN.mm)]]/(Table11234[[#This Row],[b (mm)]]*Table11234[[#This Row],[d (mm)]])</f>
        <v>0.95175303087114116</v>
      </c>
      <c r="N4" s="110">
        <f>Table11234[[#This Row],[M (KN.mm)]]/(Table11234[[#This Row],[b (mm)]]*Table11234[[#This Row],[h (mm)]])</f>
        <v>0.83278390201224861</v>
      </c>
      <c r="O4" s="110">
        <f>Table11234[[#This Row],[M (KN.mm)]]/(Table11234[[#This Row],[b (mm)]]*Table11234[[#This Row],[h (mm)]]*Table11234[[#This Row],[L(mm)]])</f>
        <v>4.1967062778570008E-4</v>
      </c>
      <c r="P4" s="110">
        <f>Table11234[[#This Row],[M (KN.mm)]]/(Table11234[[#This Row],[b (mm)]]*Table11234[[#This Row],[d (mm)]]*Table11234[[#This Row],[L(mm)]])</f>
        <v>4.7962357461222861E-4</v>
      </c>
      <c r="Q4" s="110">
        <f>Table11234[[#This Row],[M (KN.mm)]]/(Table11234[[#This Row],[b (mm)]]*Table11234[[#This Row],[h (mm)]]*Table11234[[#This Row],[L(mm)]]*Table11234[[#This Row],[fc (Mpa)]])</f>
        <v>1.6908566792332799E-5</v>
      </c>
      <c r="R4" s="110">
        <f>Table11234[[#This Row],[M (KN.mm)]]/(Table11234[[#This Row],[b (mm)]]*Table11234[[#This Row],[h (mm)]]*Table11234[[#This Row],[L(mm)]]/2)</f>
        <v>8.3934125557140016E-4</v>
      </c>
      <c r="S4" s="110">
        <f>Table11234[[#This Row],[M (KN.mm)]]/(Table11234[[#This Row],[a (mm)]]*Table11234[[#This Row],[b (mm)]]*Table11234[[#This Row],[h (mm)]]*Table11234[[#This Row],[L(mm)]]/2)</f>
        <v>1.3768721384045279E-6</v>
      </c>
      <c r="T4" s="110">
        <f>G4/($AK$5*AH4*0.001*Table11234[[#This Row],[pho (%)]])</f>
        <v>4.8050956214365464E-6</v>
      </c>
      <c r="U4" s="110">
        <f>Table11234[[#This Row],[M (KN.mm)]]/(Table11234[[#This Row],[b (mm)]]*Table11234[[#This Row],[d (mm)]]*Table11234[[#This Row],[pho (%)]])</f>
        <v>1.1197094480836955</v>
      </c>
      <c r="V4" s="110">
        <f>E4*224.8/(2*SQRT(Table11234[[#This Row],[fc (Mpa)]]*145.037)*Table11234[[#This Row],[b (mm)]]*Table11234[[#This Row],[d (mm)]]*(1/25.4)^2)</f>
        <v>1.8870037447922479</v>
      </c>
      <c r="W4" s="110">
        <f>Table11234[[#This Row],[M (KN.mm)]]/$G$8</f>
        <v>0.62941176470588234</v>
      </c>
      <c r="X4" s="110">
        <f t="shared" si="9"/>
        <v>1.8870037447922479</v>
      </c>
      <c r="Y4" s="110">
        <f t="shared" si="4"/>
        <v>609.59999999999991</v>
      </c>
      <c r="Z4" s="110">
        <f t="shared" si="5"/>
        <v>266.7</v>
      </c>
      <c r="AA4" s="110">
        <f t="shared" si="6"/>
        <v>304.79999999999995</v>
      </c>
      <c r="AB4" s="110">
        <f t="shared" si="7"/>
        <v>228.6</v>
      </c>
      <c r="AC4" s="7">
        <v>24.82</v>
      </c>
      <c r="AD4" s="110">
        <f>Table11234[[#This Row],[pho (%)]]/100*Table11234[[#This Row],[b (mm)]]*Table11234[[#This Row],[h (mm)]]</f>
        <v>592.25687999999991</v>
      </c>
      <c r="AE4" s="111">
        <v>0.85</v>
      </c>
      <c r="AF4" s="110">
        <v>663.3</v>
      </c>
      <c r="AG4" s="110">
        <f>(1/3-0.21*(MIN(Table11234[[#This Row],[b (mm)]],AA4)/MAX(Table11234[[#This Row],[b (mm)]],AA4))*(MIN(Table11234[[#This Row],[b (mm)]],AA4)^4/(12*MAX(Table11234[[#This Row],[b (mm)]],AA4)^4)))*MAX(Table11234[[#This Row],[b (mm)]],AA4)*MIN(Table11234[[#This Row],[b (mm)]],AA4)^3</f>
        <v>1198609576.1573534</v>
      </c>
      <c r="AH4" s="110">
        <f>Table11234[[#This Row],[b (mm)]]*AA4^3/12</f>
        <v>539435927.57759976</v>
      </c>
      <c r="AI4" s="110">
        <f t="shared" si="8"/>
        <v>1984.375</v>
      </c>
      <c r="AJ4" s="106" t="s">
        <v>7</v>
      </c>
      <c r="AK4" s="107">
        <v>31.4</v>
      </c>
    </row>
    <row r="5" spans="1:39" x14ac:dyDescent="0.25">
      <c r="A5" s="130" t="s">
        <v>69</v>
      </c>
      <c r="B5" s="110" t="s">
        <v>63</v>
      </c>
      <c r="C5" s="110">
        <v>20</v>
      </c>
      <c r="D5" s="110">
        <f>Table11234[[#This Row],[a (mm)]]/Table11234[[#This Row],[d (mm)]]</f>
        <v>2.2857142857142856</v>
      </c>
      <c r="E5" s="110">
        <v>107.64160000000001</v>
      </c>
      <c r="F5" s="127">
        <f>Table11234[[#This Row],[d (mm)]]</f>
        <v>266.7</v>
      </c>
      <c r="G5" s="110">
        <f t="shared" si="0"/>
        <v>65618.319359999994</v>
      </c>
      <c r="H5" s="110">
        <f t="shared" si="1"/>
        <v>4.6187297632219514E-6</v>
      </c>
      <c r="I5" s="110">
        <f>G5/(Table11234[[#This Row],[b (mm)]]*Z5^2)</f>
        <v>4.0355510491822191E-3</v>
      </c>
      <c r="J5" s="110">
        <f t="shared" si="2"/>
        <v>0.62629937088788556</v>
      </c>
      <c r="K5" s="110">
        <f t="shared" si="3"/>
        <v>2.8600442557043124E-6</v>
      </c>
      <c r="L5" s="110">
        <f>E5/(Table11234[[#This Row],[b (mm)]]*Z5)</f>
        <v>1.7655535840172213E-3</v>
      </c>
      <c r="M5" s="110">
        <f>Table11234[[#This Row],[M (KN.mm)]]/(Table11234[[#This Row],[b (mm)]]*Table11234[[#This Row],[d (mm)]])</f>
        <v>1.0762814648168979</v>
      </c>
      <c r="N5" s="110">
        <f>Table11234[[#This Row],[M (KN.mm)]]/(Table11234[[#This Row],[b (mm)]]*Table11234[[#This Row],[h (mm)]])</f>
        <v>0.9417462817147858</v>
      </c>
      <c r="O5" s="110">
        <f>Table11234[[#This Row],[M (KN.mm)]]/(Table11234[[#This Row],[b (mm)]]*Table11234[[#This Row],[h (mm)]]*Table11234[[#This Row],[L(mm)]])</f>
        <v>4.7458080338382903E-4</v>
      </c>
      <c r="P5" s="110">
        <f>Table11234[[#This Row],[M (KN.mm)]]/(Table11234[[#This Row],[b (mm)]]*Table11234[[#This Row],[d (mm)]]*Table11234[[#This Row],[L(mm)]])</f>
        <v>5.4237806101009025E-4</v>
      </c>
      <c r="Q5" s="110">
        <f>Table11234[[#This Row],[M (KN.mm)]]/(Table11234[[#This Row],[b (mm)]]*Table11234[[#This Row],[h (mm)]]*Table11234[[#This Row],[L(mm)]]*Table11234[[#This Row],[fc (Mpa)]])</f>
        <v>1.9120902634320268E-5</v>
      </c>
      <c r="R5" s="110">
        <f>Table11234[[#This Row],[M (KN.mm)]]/(Table11234[[#This Row],[b (mm)]]*Table11234[[#This Row],[h (mm)]]*Table11234[[#This Row],[L(mm)]]/2)</f>
        <v>9.4916160676765805E-4</v>
      </c>
      <c r="S5" s="110">
        <f>Table11234[[#This Row],[M (KN.mm)]]/(Table11234[[#This Row],[a (mm)]]*Table11234[[#This Row],[b (mm)]]*Table11234[[#This Row],[h (mm)]]*Table11234[[#This Row],[L(mm)]]/2)</f>
        <v>1.5570236331490458E-6</v>
      </c>
      <c r="T5" s="110">
        <f>G5/($AK$5*AH5*0.001*Table11234[[#This Row],[pho (%)]])</f>
        <v>5.4337997214375896E-6</v>
      </c>
      <c r="U5" s="110">
        <f>Table11234[[#This Row],[M (KN.mm)]]/(Table11234[[#This Row],[b (mm)]]*Table11234[[#This Row],[d (mm)]]*Table11234[[#This Row],[pho (%)]])</f>
        <v>1.2662134880198799</v>
      </c>
      <c r="V5" s="110">
        <f>E5*224.8/(2*SQRT(Table11234[[#This Row],[fc (Mpa)]]*145.037)*Table11234[[#This Row],[b (mm)]]*Table11234[[#This Row],[d (mm)]]*(1/25.4)^2)</f>
        <v>2.1339014310267475</v>
      </c>
      <c r="W5" s="110">
        <f>Table11234[[#This Row],[M (KN.mm)]]/$G$8</f>
        <v>0.71176470588235285</v>
      </c>
      <c r="X5" s="110">
        <f t="shared" si="9"/>
        <v>2.1339014310267475</v>
      </c>
      <c r="Y5" s="110">
        <f t="shared" si="4"/>
        <v>609.59999999999991</v>
      </c>
      <c r="Z5" s="110">
        <f t="shared" si="5"/>
        <v>266.7</v>
      </c>
      <c r="AA5" s="110">
        <f t="shared" si="6"/>
        <v>304.79999999999995</v>
      </c>
      <c r="AB5" s="110">
        <f t="shared" si="7"/>
        <v>228.6</v>
      </c>
      <c r="AC5" s="7">
        <v>24.82</v>
      </c>
      <c r="AD5" s="110">
        <f>Table11234[[#This Row],[pho (%)]]/100*Table11234[[#This Row],[b (mm)]]*Table11234[[#This Row],[h (mm)]]</f>
        <v>592.25687999999991</v>
      </c>
      <c r="AE5" s="111">
        <v>0.85</v>
      </c>
      <c r="AF5" s="110">
        <v>663.3</v>
      </c>
      <c r="AG5" s="110">
        <f>(1/3-0.21*(MIN(Table11234[[#This Row],[b (mm)]],AA5)/MAX(Table11234[[#This Row],[b (mm)]],AA5))*(MIN(Table11234[[#This Row],[b (mm)]],AA5)^4/(12*MAX(Table11234[[#This Row],[b (mm)]],AA5)^4)))*MAX(Table11234[[#This Row],[b (mm)]],AA5)*MIN(Table11234[[#This Row],[b (mm)]],AA5)^3</f>
        <v>1198609576.1573534</v>
      </c>
      <c r="AH5" s="110">
        <f>Table11234[[#This Row],[b (mm)]]*AA5^3/12</f>
        <v>539435927.57759976</v>
      </c>
      <c r="AI5" s="110">
        <f t="shared" si="8"/>
        <v>1984.375</v>
      </c>
      <c r="AJ5" s="106" t="s">
        <v>8</v>
      </c>
      <c r="AK5" s="107">
        <f>4700*SQRT(AK4)</f>
        <v>26336.780365109171</v>
      </c>
    </row>
    <row r="6" spans="1:39" x14ac:dyDescent="0.25">
      <c r="A6" s="130" t="s">
        <v>69</v>
      </c>
      <c r="B6" s="110" t="s">
        <v>64</v>
      </c>
      <c r="C6" s="110">
        <v>21</v>
      </c>
      <c r="D6" s="110">
        <f>Table11234[[#This Row],[a (mm)]]/Table11234[[#This Row],[d (mm)]]</f>
        <v>2.2857142857142856</v>
      </c>
      <c r="E6" s="110">
        <v>120.096</v>
      </c>
      <c r="F6" s="127">
        <f>Table11234[[#This Row],[d (mm)]]</f>
        <v>266.7</v>
      </c>
      <c r="G6" s="110">
        <f t="shared" si="0"/>
        <v>73210.521599999993</v>
      </c>
      <c r="H6" s="110">
        <f t="shared" si="1"/>
        <v>5.1531282482228381E-6</v>
      </c>
      <c r="I6" s="110">
        <f>G6/(Table11234[[#This Row],[b (mm)]]*Z6^2)</f>
        <v>4.502474311071071E-3</v>
      </c>
      <c r="J6" s="110">
        <f t="shared" si="2"/>
        <v>0.69876376090797143</v>
      </c>
      <c r="K6" s="110">
        <f t="shared" si="3"/>
        <v>3.1909584671081168E-6</v>
      </c>
      <c r="L6" s="110">
        <f>E6/(Table11234[[#This Row],[b (mm)]]*Z6)</f>
        <v>1.969832511093594E-3</v>
      </c>
      <c r="M6" s="110">
        <f>Table11234[[#This Row],[M (KN.mm)]]/(Table11234[[#This Row],[b (mm)]]*Table11234[[#This Row],[d (mm)]])</f>
        <v>1.2008098987626545</v>
      </c>
      <c r="N6" s="110">
        <f>Table11234[[#This Row],[M (KN.mm)]]/(Table11234[[#This Row],[b (mm)]]*Table11234[[#This Row],[h (mm)]])</f>
        <v>1.0507086614173229</v>
      </c>
      <c r="O6" s="110">
        <f>Table11234[[#This Row],[M (KN.mm)]]/(Table11234[[#This Row],[b (mm)]]*Table11234[[#This Row],[h (mm)]]*Table11234[[#This Row],[L(mm)]])</f>
        <v>5.2949097898195797E-4</v>
      </c>
      <c r="P6" s="110">
        <f>Table11234[[#This Row],[M (KN.mm)]]/(Table11234[[#This Row],[b (mm)]]*Table11234[[#This Row],[d (mm)]]*Table11234[[#This Row],[L(mm)]])</f>
        <v>6.0513254740795195E-4</v>
      </c>
      <c r="Q6" s="110">
        <f>Table11234[[#This Row],[M (KN.mm)]]/(Table11234[[#This Row],[b (mm)]]*Table11234[[#This Row],[h (mm)]]*Table11234[[#This Row],[L(mm)]]*Table11234[[#This Row],[fc (Mpa)]])</f>
        <v>2.1333238476307736E-5</v>
      </c>
      <c r="R6" s="110">
        <f>Table11234[[#This Row],[M (KN.mm)]]/(Table11234[[#This Row],[b (mm)]]*Table11234[[#This Row],[h (mm)]]*Table11234[[#This Row],[L(mm)]]/2)</f>
        <v>1.0589819579639159E-3</v>
      </c>
      <c r="S6" s="110">
        <f>Table11234[[#This Row],[M (KN.mm)]]/(Table11234[[#This Row],[a (mm)]]*Table11234[[#This Row],[b (mm)]]*Table11234[[#This Row],[h (mm)]]*Table11234[[#This Row],[L(mm)]]/2)</f>
        <v>1.7371751278935634E-6</v>
      </c>
      <c r="T6" s="110">
        <f>G6/($AK$5*AH6*0.001*Table11234[[#This Row],[pho (%)]])</f>
        <v>6.0625038214386328E-6</v>
      </c>
      <c r="U6" s="110">
        <f>Table11234[[#This Row],[M (KN.mm)]]/(Table11234[[#This Row],[b (mm)]]*Table11234[[#This Row],[d (mm)]]*Table11234[[#This Row],[pho (%)]])</f>
        <v>1.4127175279560644</v>
      </c>
      <c r="V6" s="110">
        <f>E6*224.8/(2*SQRT(Table11234[[#This Row],[fc (Mpa)]]*145.037)*Table11234[[#This Row],[b (mm)]]*Table11234[[#This Row],[d (mm)]]*(1/25.4)^2)</f>
        <v>2.3807991172612475</v>
      </c>
      <c r="W6" s="110">
        <f>Table11234[[#This Row],[M (KN.mm)]]/$G$8</f>
        <v>0.79411764705882348</v>
      </c>
      <c r="X6" s="110">
        <f t="shared" si="9"/>
        <v>2.3807991172612475</v>
      </c>
      <c r="Y6" s="110">
        <f t="shared" si="4"/>
        <v>609.59999999999991</v>
      </c>
      <c r="Z6" s="110">
        <f t="shared" si="5"/>
        <v>266.7</v>
      </c>
      <c r="AA6" s="110">
        <f t="shared" si="6"/>
        <v>304.79999999999995</v>
      </c>
      <c r="AB6" s="110">
        <f t="shared" si="7"/>
        <v>228.6</v>
      </c>
      <c r="AC6" s="7">
        <v>24.82</v>
      </c>
      <c r="AD6" s="110">
        <f>Table11234[[#This Row],[pho (%)]]/100*Table11234[[#This Row],[b (mm)]]*Table11234[[#This Row],[h (mm)]]</f>
        <v>592.25687999999991</v>
      </c>
      <c r="AE6" s="111">
        <v>0.85</v>
      </c>
      <c r="AF6" s="110">
        <v>663.3</v>
      </c>
      <c r="AG6" s="110">
        <f>(1/3-0.21*(MIN(Table11234[[#This Row],[b (mm)]],AA6)/MAX(Table11234[[#This Row],[b (mm)]],AA6))*(MIN(Table11234[[#This Row],[b (mm)]],AA6)^4/(12*MAX(Table11234[[#This Row],[b (mm)]],AA6)^4)))*MAX(Table11234[[#This Row],[b (mm)]],AA6)*MIN(Table11234[[#This Row],[b (mm)]],AA6)^3</f>
        <v>1198609576.1573534</v>
      </c>
      <c r="AH6" s="110">
        <f>Table11234[[#This Row],[b (mm)]]*AA6^3/12</f>
        <v>539435927.57759976</v>
      </c>
      <c r="AI6" s="110">
        <f t="shared" si="8"/>
        <v>1984.375</v>
      </c>
      <c r="AJ6" s="106" t="s">
        <v>16</v>
      </c>
      <c r="AK6" s="107">
        <f>AK5/(2*(1+0.15))</f>
        <v>11450.774071786596</v>
      </c>
    </row>
    <row r="7" spans="1:39" x14ac:dyDescent="0.25">
      <c r="A7" s="130" t="s">
        <v>69</v>
      </c>
      <c r="B7" s="110" t="s">
        <v>65</v>
      </c>
      <c r="C7" s="110">
        <v>22</v>
      </c>
      <c r="D7" s="110">
        <f>Table11234[[#This Row],[a (mm)]]/Table11234[[#This Row],[d (mm)]]</f>
        <v>2.2857142857142856</v>
      </c>
      <c r="E7" s="110">
        <v>141.0016</v>
      </c>
      <c r="F7" s="127">
        <f>Table11234[[#This Row],[d (mm)]]</f>
        <v>266.7</v>
      </c>
      <c r="G7" s="110">
        <f t="shared" si="0"/>
        <v>85954.575359999988</v>
      </c>
      <c r="H7" s="110">
        <f t="shared" si="1"/>
        <v>6.0501542766171836E-6</v>
      </c>
      <c r="I7" s="110">
        <f>G7/(Table11234[[#This Row],[b (mm)]]*Z7^2)</f>
        <v>5.2862383578130721E-3</v>
      </c>
      <c r="J7" s="110">
        <f t="shared" si="2"/>
        <v>0.82040041558454424</v>
      </c>
      <c r="K7" s="110">
        <f t="shared" si="3"/>
        <v>3.7464216076787889E-6</v>
      </c>
      <c r="L7" s="110">
        <f>E7/(Table11234[[#This Row],[b (mm)]]*Z7)</f>
        <v>2.3127292815432192E-3</v>
      </c>
      <c r="M7" s="110">
        <f>Table11234[[#This Row],[M (KN.mm)]]/(Table11234[[#This Row],[b (mm)]]*Table11234[[#This Row],[d (mm)]])</f>
        <v>1.4098397700287464</v>
      </c>
      <c r="N7" s="110">
        <f>Table11234[[#This Row],[M (KN.mm)]]/(Table11234[[#This Row],[b (mm)]]*Table11234[[#This Row],[h (mm)]])</f>
        <v>1.2336097987751533</v>
      </c>
      <c r="O7" s="110">
        <f>Table11234[[#This Row],[M (KN.mm)]]/(Table11234[[#This Row],[b (mm)]]*Table11234[[#This Row],[h (mm)]]*Table11234[[#This Row],[L(mm)]])</f>
        <v>6.2166163087881731E-4</v>
      </c>
      <c r="P7" s="110">
        <f>Table11234[[#This Row],[M (KN.mm)]]/(Table11234[[#This Row],[b (mm)]]*Table11234[[#This Row],[d (mm)]]*Table11234[[#This Row],[L(mm)]])</f>
        <v>7.1047043529007693E-4</v>
      </c>
      <c r="Q7" s="110">
        <f>Table11234[[#This Row],[M (KN.mm)]]/(Table11234[[#This Row],[b (mm)]]*Table11234[[#This Row],[h (mm)]]*Table11234[[#This Row],[L(mm)]]*Table11234[[#This Row],[fc (Mpa)]])</f>
        <v>2.5046802211072416E-5</v>
      </c>
      <c r="R7" s="110">
        <f>Table11234[[#This Row],[M (KN.mm)]]/(Table11234[[#This Row],[b (mm)]]*Table11234[[#This Row],[h (mm)]]*Table11234[[#This Row],[L(mm)]]/2)</f>
        <v>1.2433232617576346E-3</v>
      </c>
      <c r="S7" s="110">
        <f>Table11234[[#This Row],[M (KN.mm)]]/(Table11234[[#This Row],[a (mm)]]*Table11234[[#This Row],[b (mm)]]*Table11234[[#This Row],[h (mm)]]*Table11234[[#This Row],[L(mm)]]/2)</f>
        <v>2.0395722797861464E-6</v>
      </c>
      <c r="T7" s="110">
        <f>G7/($AK$5*AH7*0.001*Table11234[[#This Row],[pho (%)]])</f>
        <v>7.1178285607260988E-6</v>
      </c>
      <c r="U7" s="110">
        <f>Table11234[[#This Row],[M (KN.mm)]]/(Table11234[[#This Row],[b (mm)]]*Table11234[[#This Row],[d (mm)]]*Table11234[[#This Row],[pho (%)]])</f>
        <v>1.658635023563231</v>
      </c>
      <c r="V7" s="110">
        <f>E7*224.8/(2*SQRT(Table11234[[#This Row],[fc (Mpa)]]*145.037)*Table11234[[#This Row],[b (mm)]]*Table11234[[#This Row],[d (mm)]]*(1/25.4)^2)</f>
        <v>2.7952345191548718</v>
      </c>
      <c r="W7" s="110">
        <f>Table11234[[#This Row],[M (KN.mm)]]/$G$8</f>
        <v>0.9323529411764705</v>
      </c>
      <c r="X7" s="110">
        <f t="shared" si="9"/>
        <v>2.7952345191548718</v>
      </c>
      <c r="Y7" s="110">
        <f t="shared" si="4"/>
        <v>609.59999999999991</v>
      </c>
      <c r="Z7" s="110">
        <f t="shared" si="5"/>
        <v>266.7</v>
      </c>
      <c r="AA7" s="110">
        <f t="shared" si="6"/>
        <v>304.79999999999995</v>
      </c>
      <c r="AB7" s="110">
        <f t="shared" si="7"/>
        <v>228.6</v>
      </c>
      <c r="AC7" s="7">
        <v>24.82</v>
      </c>
      <c r="AD7" s="110">
        <f>Table11234[[#This Row],[pho (%)]]/100*Table11234[[#This Row],[b (mm)]]*Table11234[[#This Row],[h (mm)]]</f>
        <v>592.25687999999991</v>
      </c>
      <c r="AE7" s="111">
        <v>0.85</v>
      </c>
      <c r="AF7" s="110">
        <v>663.3</v>
      </c>
      <c r="AG7" s="110">
        <f>(1/3-0.21*(MIN(Table11234[[#This Row],[b (mm)]],AA7)/MAX(Table11234[[#This Row],[b (mm)]],AA7))*(MIN(Table11234[[#This Row],[b (mm)]],AA7)^4/(12*MAX(Table11234[[#This Row],[b (mm)]],AA7)^4)))*MAX(Table11234[[#This Row],[b (mm)]],AA7)*MIN(Table11234[[#This Row],[b (mm)]],AA7)^3</f>
        <v>1198609576.1573534</v>
      </c>
      <c r="AH7" s="110">
        <f>Table11234[[#This Row],[b (mm)]]*AA7^3/12</f>
        <v>539435927.57759976</v>
      </c>
      <c r="AI7" s="110">
        <f t="shared" si="8"/>
        <v>1984.375</v>
      </c>
      <c r="AJ7" s="106"/>
      <c r="AK7" s="107"/>
    </row>
    <row r="8" spans="1:39" x14ac:dyDescent="0.25">
      <c r="A8" s="131" t="s">
        <v>69</v>
      </c>
      <c r="B8" s="110" t="s">
        <v>66</v>
      </c>
      <c r="C8" s="110">
        <v>23</v>
      </c>
      <c r="D8" s="110">
        <f>Table11234[[#This Row],[a (mm)]]/Table11234[[#This Row],[d (mm)]]</f>
        <v>2.2857142857142856</v>
      </c>
      <c r="E8" s="110">
        <v>151.23200000000003</v>
      </c>
      <c r="F8" s="127">
        <f>Table11234[[#This Row],[d (mm)]]</f>
        <v>266.7</v>
      </c>
      <c r="G8" s="110">
        <f t="shared" si="0"/>
        <v>92191.027199999997</v>
      </c>
      <c r="H8" s="110">
        <f t="shared" si="1"/>
        <v>6.4891244607250556E-6</v>
      </c>
      <c r="I8" s="110">
        <f>G8/(Table11234[[#This Row],[b (mm)]]*Z8^2)</f>
        <v>5.6697824657932008E-3</v>
      </c>
      <c r="J8" s="110">
        <f t="shared" si="2"/>
        <v>0.87992473595818632</v>
      </c>
      <c r="K8" s="110">
        <f t="shared" si="3"/>
        <v>4.0182439956176288E-6</v>
      </c>
      <c r="L8" s="110">
        <f>E8/(Table11234[[#This Row],[b (mm)]]*Z8)</f>
        <v>2.4805298287845258E-3</v>
      </c>
      <c r="M8" s="110">
        <f>Table11234[[#This Row],[M (KN.mm)]]/(Table11234[[#This Row],[b (mm)]]*Table11234[[#This Row],[d (mm)]])</f>
        <v>1.5121309836270467</v>
      </c>
      <c r="N8" s="110">
        <f>Table11234[[#This Row],[M (KN.mm)]]/(Table11234[[#This Row],[b (mm)]]*Table11234[[#This Row],[h (mm)]])</f>
        <v>1.323114610673666</v>
      </c>
      <c r="O8" s="110">
        <f>Table11234[[#This Row],[M (KN.mm)]]/(Table11234[[#This Row],[b (mm)]]*Table11234[[#This Row],[h (mm)]]*Table11234[[#This Row],[L(mm)]])</f>
        <v>6.6676641797728056E-4</v>
      </c>
      <c r="P8" s="110">
        <f>Table11234[[#This Row],[M (KN.mm)]]/(Table11234[[#This Row],[b (mm)]]*Table11234[[#This Row],[d (mm)]]*Table11234[[#This Row],[L(mm)]])</f>
        <v>7.6201876340260626E-4</v>
      </c>
      <c r="Q8" s="110">
        <f>Table11234[[#This Row],[M (KN.mm)]]/(Table11234[[#This Row],[b (mm)]]*Table11234[[#This Row],[h (mm)]]*Table11234[[#This Row],[L(mm)]]*Table11234[[#This Row],[fc (Mpa)]])</f>
        <v>2.6864078081276412E-5</v>
      </c>
      <c r="R8" s="110">
        <f>Table11234[[#This Row],[M (KN.mm)]]/(Table11234[[#This Row],[b (mm)]]*Table11234[[#This Row],[h (mm)]]*Table11234[[#This Row],[L(mm)]]/2)</f>
        <v>1.3335328359545611E-3</v>
      </c>
      <c r="S8" s="110">
        <f>Table11234[[#This Row],[M (KN.mm)]]/(Table11234[[#This Row],[a (mm)]]*Table11234[[#This Row],[b (mm)]]*Table11234[[#This Row],[h (mm)]]*Table11234[[#This Row],[L(mm)]]/2)</f>
        <v>2.1875538647548575E-6</v>
      </c>
      <c r="T8" s="110">
        <f>G8/($AK$5*AH8*0.001*Table11234[[#This Row],[pho (%)]])</f>
        <v>7.6342640714412429E-6</v>
      </c>
      <c r="U8" s="110">
        <f>Table11234[[#This Row],[M (KN.mm)]]/(Table11234[[#This Row],[b (mm)]]*Table11234[[#This Row],[d (mm)]]*Table11234[[#This Row],[pho (%)]])</f>
        <v>1.7789776277965257</v>
      </c>
      <c r="V8" s="110">
        <f>E8*224.8/(2*SQRT(Table11234[[#This Row],[fc (Mpa)]]*145.037)*Table11234[[#This Row],[b (mm)]]*Table11234[[#This Row],[d (mm)]]*(1/25.4)^2)</f>
        <v>2.9980433328474971</v>
      </c>
      <c r="W8" s="110">
        <f>Table11234[[#This Row],[M (KN.mm)]]/$G$8</f>
        <v>1</v>
      </c>
      <c r="X8" s="110">
        <f t="shared" si="9"/>
        <v>2.9980433328474971</v>
      </c>
      <c r="Y8" s="110">
        <f t="shared" si="4"/>
        <v>609.59999999999991</v>
      </c>
      <c r="Z8" s="110">
        <f t="shared" si="5"/>
        <v>266.7</v>
      </c>
      <c r="AA8" s="110">
        <f t="shared" si="6"/>
        <v>304.79999999999995</v>
      </c>
      <c r="AB8" s="110">
        <f t="shared" si="7"/>
        <v>228.6</v>
      </c>
      <c r="AC8" s="7">
        <v>24.82</v>
      </c>
      <c r="AD8" s="110">
        <f>Table11234[[#This Row],[pho (%)]]/100*Table11234[[#This Row],[b (mm)]]*Table11234[[#This Row],[h (mm)]]</f>
        <v>592.25687999999991</v>
      </c>
      <c r="AE8" s="111">
        <v>0.85</v>
      </c>
      <c r="AF8" s="110">
        <v>663.3</v>
      </c>
      <c r="AG8" s="110">
        <f>(1/3-0.21*(MIN(Table11234[[#This Row],[b (mm)]],AA8)/MAX(Table11234[[#This Row],[b (mm)]],AA8))*(MIN(Table11234[[#This Row],[b (mm)]],AA8)^4/(12*MAX(Table11234[[#This Row],[b (mm)]],AA8)^4)))*MAX(Table11234[[#This Row],[b (mm)]],AA8)*MIN(Table11234[[#This Row],[b (mm)]],AA8)^3</f>
        <v>1198609576.1573534</v>
      </c>
      <c r="AH8" s="110">
        <f>Table11234[[#This Row],[b (mm)]]*AA8^3/12</f>
        <v>539435927.57759976</v>
      </c>
      <c r="AI8" s="110">
        <f t="shared" si="8"/>
        <v>1984.375</v>
      </c>
      <c r="AJ8" s="106"/>
      <c r="AK8" s="107"/>
    </row>
    <row r="9" spans="1:39" x14ac:dyDescent="0.25">
      <c r="A9" s="121" t="s">
        <v>70</v>
      </c>
      <c r="B9" s="110" t="s">
        <v>60</v>
      </c>
      <c r="C9" s="110">
        <v>24</v>
      </c>
      <c r="D9" s="110">
        <f>Table11234[[#This Row],[a (mm)]]/Table11234[[#This Row],[d (mm)]]</f>
        <v>2.2857142857142856</v>
      </c>
      <c r="E9" s="110">
        <v>92.073599999999999</v>
      </c>
      <c r="F9" s="127">
        <f>Table11234[[#This Row],[d (mm)]]</f>
        <v>266.7</v>
      </c>
      <c r="G9" s="110">
        <f t="shared" si="0"/>
        <v>56128.066559999992</v>
      </c>
      <c r="H9" s="110">
        <f t="shared" si="1"/>
        <v>3.9507316569708427E-6</v>
      </c>
      <c r="I9" s="110">
        <f>G9/(Table11234[[#This Row],[b (mm)]]*Z9^2)</f>
        <v>3.4518969718211542E-3</v>
      </c>
      <c r="J9" s="110">
        <f t="shared" si="2"/>
        <v>0.56493217064313295</v>
      </c>
      <c r="K9" s="110">
        <f t="shared" si="3"/>
        <v>2.446401491449556E-6</v>
      </c>
      <c r="L9" s="110">
        <f>E9/(Table11234[[#This Row],[b (mm)]]*Z9)</f>
        <v>1.5102049251717552E-3</v>
      </c>
      <c r="M9" s="110">
        <f>Table11234[[#This Row],[M (KN.mm)]]/(Table11234[[#This Row],[b (mm)]]*Table11234[[#This Row],[d (mm)]])</f>
        <v>0.92062092238470183</v>
      </c>
      <c r="N9" s="110">
        <f>Table11234[[#This Row],[M (KN.mm)]]/(Table11234[[#This Row],[b (mm)]]*Table11234[[#This Row],[h (mm)]])</f>
        <v>0.80554330708661426</v>
      </c>
      <c r="O9" s="110">
        <f>Table11234[[#This Row],[M (KN.mm)]]/(Table11234[[#This Row],[b (mm)]]*Table11234[[#This Row],[h (mm)]]*Table11234[[#This Row],[L(mm)]])</f>
        <v>4.0594308388616779E-4</v>
      </c>
      <c r="P9" s="110">
        <f>Table11234[[#This Row],[M (KN.mm)]]/(Table11234[[#This Row],[b (mm)]]*Table11234[[#This Row],[d (mm)]]*Table11234[[#This Row],[L(mm)]])</f>
        <v>4.6393495301276315E-4</v>
      </c>
      <c r="Q9" s="110">
        <f>Table11234[[#This Row],[M (KN.mm)]]/(Table11234[[#This Row],[b (mm)]]*Table11234[[#This Row],[h (mm)]]*Table11234[[#This Row],[L(mm)]]*Table11234[[#This Row],[fc (Mpa)]])</f>
        <v>1.635548283183593E-5</v>
      </c>
      <c r="R9" s="110">
        <f>Table11234[[#This Row],[M (KN.mm)]]/(Table11234[[#This Row],[b (mm)]]*Table11234[[#This Row],[h (mm)]]*Table11234[[#This Row],[L(mm)]]/2)</f>
        <v>8.1188616777233557E-4</v>
      </c>
      <c r="S9" s="110">
        <f>Table11234[[#This Row],[M (KN.mm)]]/(Table11234[[#This Row],[a (mm)]]*Table11234[[#This Row],[b (mm)]]*Table11234[[#This Row],[h (mm)]]*Table11234[[#This Row],[L(mm)]]/2)</f>
        <v>1.3318342647183986E-6</v>
      </c>
      <c r="T9" s="110">
        <f>G9/($AK$5*AH9*0.001*Table11234[[#This Row],[pho (%)]])</f>
        <v>4.647919596436285E-6</v>
      </c>
      <c r="U9" s="110">
        <f>Table11234[[#This Row],[M (KN.mm)]]/(Table11234[[#This Row],[b (mm)]]*Table11234[[#This Row],[d (mm)]]*Table11234[[#This Row],[pho (%)]])</f>
        <v>1.0830834380996492</v>
      </c>
      <c r="V9" s="110">
        <f>E9*224.8/(2*SQRT(Table11234[[#This Row],[fc (Mpa)]]*145.037)*Table11234[[#This Row],[b (mm)]]*Table11234[[#This Row],[d (mm)]]*(1/25.4)^2)</f>
        <v>1.8252793232336229</v>
      </c>
      <c r="W9" s="110">
        <f>Table11234[[#This Row],[M (KN.mm)]]/$G$14</f>
        <v>0.51749999999999996</v>
      </c>
      <c r="X9" s="110">
        <f t="shared" si="9"/>
        <v>1.8252793232336229</v>
      </c>
      <c r="Y9" s="110">
        <f t="shared" si="4"/>
        <v>609.59999999999991</v>
      </c>
      <c r="Z9" s="110">
        <f t="shared" si="5"/>
        <v>266.7</v>
      </c>
      <c r="AA9" s="110">
        <f t="shared" si="6"/>
        <v>304.79999999999995</v>
      </c>
      <c r="AB9" s="110">
        <f t="shared" si="7"/>
        <v>228.6</v>
      </c>
      <c r="AC9" s="7">
        <v>24.82</v>
      </c>
      <c r="AD9" s="110">
        <f>Table11234[[#This Row],[pho (%)]]/100*Table11234[[#This Row],[b (mm)]]*Table11234[[#This Row],[h (mm)]]</f>
        <v>592.25687999999991</v>
      </c>
      <c r="AE9" s="111">
        <v>0.85</v>
      </c>
      <c r="AF9" s="110">
        <v>629</v>
      </c>
      <c r="AG9" s="110">
        <f>(1/3-0.21*(MIN(Table11234[[#This Row],[b (mm)]],AA9)/MAX(Table11234[[#This Row],[b (mm)]],AA9))*(MIN(Table11234[[#This Row],[b (mm)]],AA9)^4/(12*MAX(Table11234[[#This Row],[b (mm)]],AA9)^4)))*MAX(Table11234[[#This Row],[b (mm)]],AA9)*MIN(Table11234[[#This Row],[b (mm)]],AA9)^3</f>
        <v>1198609576.1573534</v>
      </c>
      <c r="AH9" s="110">
        <f>Table11234[[#This Row],[b (mm)]]*AA9^3/12</f>
        <v>539435927.57759976</v>
      </c>
      <c r="AI9" s="110">
        <f t="shared" si="8"/>
        <v>1984.375</v>
      </c>
      <c r="AJ9" s="106"/>
      <c r="AK9" s="107"/>
    </row>
    <row r="10" spans="1:39" x14ac:dyDescent="0.25">
      <c r="A10" s="121" t="s">
        <v>70</v>
      </c>
      <c r="B10" s="110" t="s">
        <v>61</v>
      </c>
      <c r="C10" s="110">
        <v>25</v>
      </c>
      <c r="D10" s="110">
        <f>Table11234[[#This Row],[a (mm)]]/Table11234[[#This Row],[d (mm)]]</f>
        <v>2.2857142857142856</v>
      </c>
      <c r="E10" s="110">
        <v>105.41760000000001</v>
      </c>
      <c r="F10" s="127">
        <f>Table11234[[#This Row],[d (mm)]]</f>
        <v>266.7</v>
      </c>
      <c r="G10" s="110">
        <f t="shared" si="0"/>
        <v>64262.568959999997</v>
      </c>
      <c r="H10" s="110">
        <f t="shared" si="1"/>
        <v>4.5233014623289359E-6</v>
      </c>
      <c r="I10" s="110">
        <f>G10/(Table11234[[#This Row],[b (mm)]]*Z10^2)</f>
        <v>3.9521718952734959E-3</v>
      </c>
      <c r="J10" s="110">
        <f t="shared" si="2"/>
        <v>0.64680639827257258</v>
      </c>
      <c r="K10" s="110">
        <f t="shared" si="3"/>
        <v>2.8009524322393471E-6</v>
      </c>
      <c r="L10" s="110">
        <f>E10/(Table11234[[#This Row],[b (mm)]]*Z10)</f>
        <v>1.7290752041821547E-3</v>
      </c>
      <c r="M10" s="110">
        <f>Table11234[[#This Row],[M (KN.mm)]]/(Table11234[[#This Row],[b (mm)]]*Table11234[[#This Row],[d (mm)]])</f>
        <v>1.0540442444694413</v>
      </c>
      <c r="N10" s="110">
        <f>Table11234[[#This Row],[M (KN.mm)]]/(Table11234[[#This Row],[b (mm)]]*Table11234[[#This Row],[h (mm)]])</f>
        <v>0.92228871391076128</v>
      </c>
      <c r="O10" s="110">
        <f>Table11234[[#This Row],[M (KN.mm)]]/(Table11234[[#This Row],[b (mm)]]*Table11234[[#This Row],[h (mm)]]*Table11234[[#This Row],[L(mm)]])</f>
        <v>4.6477541488416317E-4</v>
      </c>
      <c r="P10" s="110">
        <f>Table11234[[#This Row],[M (KN.mm)]]/(Table11234[[#This Row],[b (mm)]]*Table11234[[#This Row],[d (mm)]]*Table11234[[#This Row],[L(mm)]])</f>
        <v>5.3117190272475789E-4</v>
      </c>
      <c r="Q10" s="110">
        <f>Table11234[[#This Row],[M (KN.mm)]]/(Table11234[[#This Row],[b (mm)]]*Table11234[[#This Row],[h (mm)]]*Table11234[[#This Row],[L(mm)]]*Table11234[[#This Row],[fc (Mpa)]])</f>
        <v>1.8725842662536792E-5</v>
      </c>
      <c r="R10" s="110">
        <f>Table11234[[#This Row],[M (KN.mm)]]/(Table11234[[#This Row],[b (mm)]]*Table11234[[#This Row],[h (mm)]]*Table11234[[#This Row],[L(mm)]]/2)</f>
        <v>9.2955082976832633E-4</v>
      </c>
      <c r="S10" s="110">
        <f>Table11234[[#This Row],[M (KN.mm)]]/(Table11234[[#This Row],[a (mm)]]*Table11234[[#This Row],[b (mm)]]*Table11234[[#This Row],[h (mm)]]*Table11234[[#This Row],[L(mm)]]/2)</f>
        <v>1.5248537233732391E-6</v>
      </c>
      <c r="T10" s="110">
        <f>G10/($AK$5*AH10*0.001*Table11234[[#This Row],[pho (%)]])</f>
        <v>5.3215311321516897E-6</v>
      </c>
      <c r="U10" s="110">
        <f>Table11234[[#This Row],[M (KN.mm)]]/(Table11234[[#This Row],[b (mm)]]*Table11234[[#This Row],[d (mm)]]*Table11234[[#This Row],[pho (%)]])</f>
        <v>1.24005205231699</v>
      </c>
      <c r="V10" s="110">
        <f>E10*224.8/(2*SQRT(Table11234[[#This Row],[fc (Mpa)]]*145.037)*Table11234[[#This Row],[b (mm)]]*Table11234[[#This Row],[d (mm)]]*(1/25.4)^2)</f>
        <v>2.0898125584848728</v>
      </c>
      <c r="W10" s="110">
        <f>Table11234[[#This Row],[M (KN.mm)]]/$G$14</f>
        <v>0.59250000000000003</v>
      </c>
      <c r="X10" s="110">
        <f t="shared" si="9"/>
        <v>2.0898125584848728</v>
      </c>
      <c r="Y10" s="110">
        <f t="shared" si="4"/>
        <v>609.59999999999991</v>
      </c>
      <c r="Z10" s="110">
        <f t="shared" si="5"/>
        <v>266.7</v>
      </c>
      <c r="AA10" s="110">
        <f t="shared" si="6"/>
        <v>304.79999999999995</v>
      </c>
      <c r="AB10" s="110">
        <f t="shared" si="7"/>
        <v>228.6</v>
      </c>
      <c r="AC10" s="7">
        <v>24.82</v>
      </c>
      <c r="AD10" s="110">
        <f>Table11234[[#This Row],[pho (%)]]/100*Table11234[[#This Row],[b (mm)]]*Table11234[[#This Row],[h (mm)]]</f>
        <v>592.25687999999991</v>
      </c>
      <c r="AE10" s="111">
        <v>0.85</v>
      </c>
      <c r="AF10" s="110">
        <v>629</v>
      </c>
      <c r="AG10" s="110">
        <f>(1/3-0.21*(MIN(Table11234[[#This Row],[b (mm)]],AA10)/MAX(Table11234[[#This Row],[b (mm)]],AA10))*(MIN(Table11234[[#This Row],[b (mm)]],AA10)^4/(12*MAX(Table11234[[#This Row],[b (mm)]],AA10)^4)))*MAX(Table11234[[#This Row],[b (mm)]],AA10)*MIN(Table11234[[#This Row],[b (mm)]],AA10)^3</f>
        <v>1198609576.1573534</v>
      </c>
      <c r="AH10" s="110">
        <f>Table11234[[#This Row],[b (mm)]]*AA10^3/12</f>
        <v>539435927.57759976</v>
      </c>
      <c r="AI10" s="110">
        <f t="shared" si="8"/>
        <v>1984.375</v>
      </c>
      <c r="AJ10" s="106"/>
      <c r="AK10" s="107"/>
    </row>
    <row r="11" spans="1:39" x14ac:dyDescent="0.25">
      <c r="A11" s="121" t="s">
        <v>70</v>
      </c>
      <c r="B11" s="110" t="s">
        <v>62</v>
      </c>
      <c r="C11" s="110">
        <v>26</v>
      </c>
      <c r="D11" s="110">
        <f>Table11234[[#This Row],[a (mm)]]/Table11234[[#This Row],[d (mm)]]</f>
        <v>2.2857142857142856</v>
      </c>
      <c r="E11" s="110">
        <v>118.7616</v>
      </c>
      <c r="F11" s="127">
        <f>Table11234[[#This Row],[d (mm)]]</f>
        <v>266.7</v>
      </c>
      <c r="G11" s="110">
        <f t="shared" si="0"/>
        <v>72397.071359999987</v>
      </c>
      <c r="H11" s="110">
        <f t="shared" si="1"/>
        <v>5.0958712676870283E-6</v>
      </c>
      <c r="I11" s="110">
        <f>G11/(Table11234[[#This Row],[b (mm)]]*Z11^2)</f>
        <v>4.4524468187258368E-3</v>
      </c>
      <c r="J11" s="110">
        <f t="shared" si="2"/>
        <v>0.72868062590201199</v>
      </c>
      <c r="K11" s="110">
        <f t="shared" si="3"/>
        <v>3.1555033730291379E-6</v>
      </c>
      <c r="L11" s="110">
        <f>E11/(Table11234[[#This Row],[b (mm)]]*Z11)</f>
        <v>1.9479454831925539E-3</v>
      </c>
      <c r="M11" s="110">
        <f>Table11234[[#This Row],[M (KN.mm)]]/(Table11234[[#This Row],[b (mm)]]*Table11234[[#This Row],[d (mm)]])</f>
        <v>1.1874675665541805</v>
      </c>
      <c r="N11" s="110">
        <f>Table11234[[#This Row],[M (KN.mm)]]/(Table11234[[#This Row],[b (mm)]]*Table11234[[#This Row],[h (mm)]])</f>
        <v>1.0390341207349081</v>
      </c>
      <c r="O11" s="110">
        <f>Table11234[[#This Row],[M (KN.mm)]]/(Table11234[[#This Row],[b (mm)]]*Table11234[[#This Row],[h (mm)]]*Table11234[[#This Row],[L(mm)]])</f>
        <v>5.2360774588215849E-4</v>
      </c>
      <c r="P11" s="110">
        <f>Table11234[[#This Row],[M (KN.mm)]]/(Table11234[[#This Row],[b (mm)]]*Table11234[[#This Row],[d (mm)]]*Table11234[[#This Row],[L(mm)]])</f>
        <v>5.9840885243675251E-4</v>
      </c>
      <c r="Q11" s="110">
        <f>Table11234[[#This Row],[M (KN.mm)]]/(Table11234[[#This Row],[b (mm)]]*Table11234[[#This Row],[h (mm)]]*Table11234[[#This Row],[L(mm)]]*Table11234[[#This Row],[fc (Mpa)]])</f>
        <v>2.1096202493237648E-5</v>
      </c>
      <c r="R11" s="110">
        <f>Table11234[[#This Row],[M (KN.mm)]]/(Table11234[[#This Row],[b (mm)]]*Table11234[[#This Row],[h (mm)]]*Table11234[[#This Row],[L(mm)]]/2)</f>
        <v>1.047215491764317E-3</v>
      </c>
      <c r="S11" s="110">
        <f>Table11234[[#This Row],[M (KN.mm)]]/(Table11234[[#This Row],[a (mm)]]*Table11234[[#This Row],[b (mm)]]*Table11234[[#This Row],[h (mm)]]*Table11234[[#This Row],[L(mm)]]/2)</f>
        <v>1.7178731820280792E-6</v>
      </c>
      <c r="T11" s="110">
        <f>G11/($AK$5*AH11*0.001*Table11234[[#This Row],[pho (%)]])</f>
        <v>5.9951426678670927E-6</v>
      </c>
      <c r="U11" s="110">
        <f>Table11234[[#This Row],[M (KN.mm)]]/(Table11234[[#This Row],[b (mm)]]*Table11234[[#This Row],[d (mm)]]*Table11234[[#This Row],[pho (%)]])</f>
        <v>1.3970206665343303</v>
      </c>
      <c r="V11" s="110">
        <f>E11*224.8/(2*SQRT(Table11234[[#This Row],[fc (Mpa)]]*145.037)*Table11234[[#This Row],[b (mm)]]*Table11234[[#This Row],[d (mm)]]*(1/25.4)^2)</f>
        <v>2.3543457937361221</v>
      </c>
      <c r="W11" s="110">
        <f>Table11234[[#This Row],[M (KN.mm)]]/$G$14</f>
        <v>0.66749999999999998</v>
      </c>
      <c r="X11" s="110">
        <f t="shared" si="9"/>
        <v>2.3543457937361221</v>
      </c>
      <c r="Y11" s="110">
        <f t="shared" si="4"/>
        <v>609.59999999999991</v>
      </c>
      <c r="Z11" s="110">
        <f t="shared" si="5"/>
        <v>266.7</v>
      </c>
      <c r="AA11" s="110">
        <f t="shared" si="6"/>
        <v>304.79999999999995</v>
      </c>
      <c r="AB11" s="110">
        <f t="shared" si="7"/>
        <v>228.6</v>
      </c>
      <c r="AC11" s="7">
        <v>24.82</v>
      </c>
      <c r="AD11" s="110">
        <f>Table11234[[#This Row],[pho (%)]]/100*Table11234[[#This Row],[b (mm)]]*Table11234[[#This Row],[h (mm)]]</f>
        <v>592.25687999999991</v>
      </c>
      <c r="AE11" s="111">
        <v>0.85</v>
      </c>
      <c r="AF11" s="110">
        <v>629</v>
      </c>
      <c r="AG11" s="110">
        <f>(1/3-0.21*(MIN(Table11234[[#This Row],[b (mm)]],AA11)/MAX(Table11234[[#This Row],[b (mm)]],AA11))*(MIN(Table11234[[#This Row],[b (mm)]],AA11)^4/(12*MAX(Table11234[[#This Row],[b (mm)]],AA11)^4)))*MAX(Table11234[[#This Row],[b (mm)]],AA11)*MIN(Table11234[[#This Row],[b (mm)]],AA11)^3</f>
        <v>1198609576.1573534</v>
      </c>
      <c r="AH11" s="110">
        <f>Table11234[[#This Row],[b (mm)]]*AA11^3/12</f>
        <v>539435927.57759976</v>
      </c>
      <c r="AI11" s="110">
        <f t="shared" si="8"/>
        <v>1984.375</v>
      </c>
      <c r="AJ11" s="106"/>
      <c r="AK11" s="107"/>
    </row>
    <row r="12" spans="1:39" x14ac:dyDescent="0.25">
      <c r="A12" s="121" t="s">
        <v>70</v>
      </c>
      <c r="B12" s="110" t="s">
        <v>63</v>
      </c>
      <c r="C12" s="110">
        <v>27</v>
      </c>
      <c r="D12" s="110">
        <f>Table11234[[#This Row],[a (mm)]]/Table11234[[#This Row],[d (mm)]]</f>
        <v>2.2857142857142856</v>
      </c>
      <c r="E12" s="110">
        <v>132.55040000000002</v>
      </c>
      <c r="F12" s="127">
        <f>Table11234[[#This Row],[d (mm)]]</f>
        <v>266.7</v>
      </c>
      <c r="G12" s="110">
        <f t="shared" si="0"/>
        <v>80802.723840000006</v>
      </c>
      <c r="H12" s="110">
        <f t="shared" si="1"/>
        <v>5.6875267332237256E-6</v>
      </c>
      <c r="I12" s="110">
        <f>G12/(Table11234[[#This Row],[b (mm)]]*Z12^2)</f>
        <v>4.9693975729599238E-3</v>
      </c>
      <c r="J12" s="110">
        <f t="shared" si="2"/>
        <v>0.81328399445243316</v>
      </c>
      <c r="K12" s="110">
        <f t="shared" si="3"/>
        <v>3.521872678511922E-6</v>
      </c>
      <c r="L12" s="110">
        <f>E12/(Table11234[[#This Row],[b (mm)]]*Z12)</f>
        <v>2.1741114381699667E-3</v>
      </c>
      <c r="M12" s="110">
        <f>Table11234[[#This Row],[M (KN.mm)]]/(Table11234[[#This Row],[b (mm)]]*Table11234[[#This Row],[d (mm)]])</f>
        <v>1.3253383327084116</v>
      </c>
      <c r="N12" s="110">
        <f>Table11234[[#This Row],[M (KN.mm)]]/(Table11234[[#This Row],[b (mm)]]*Table11234[[#This Row],[h (mm)]])</f>
        <v>1.1596710411198603</v>
      </c>
      <c r="O12" s="110">
        <f>Table11234[[#This Row],[M (KN.mm)]]/(Table11234[[#This Row],[b (mm)]]*Table11234[[#This Row],[h (mm)]]*Table11234[[#This Row],[L(mm)]])</f>
        <v>5.8440115458008714E-4</v>
      </c>
      <c r="P12" s="110">
        <f>Table11234[[#This Row],[M (KN.mm)]]/(Table11234[[#This Row],[b (mm)]]*Table11234[[#This Row],[d (mm)]]*Table11234[[#This Row],[L(mm)]])</f>
        <v>6.6788703380581376E-4</v>
      </c>
      <c r="Q12" s="110">
        <f>Table11234[[#This Row],[M (KN.mm)]]/(Table11234[[#This Row],[b (mm)]]*Table11234[[#This Row],[h (mm)]]*Table11234[[#This Row],[L(mm)]]*Table11234[[#This Row],[fc (Mpa)]])</f>
        <v>2.3545574318295211E-5</v>
      </c>
      <c r="R12" s="110">
        <f>Table11234[[#This Row],[M (KN.mm)]]/(Table11234[[#This Row],[b (mm)]]*Table11234[[#This Row],[h (mm)]]*Table11234[[#This Row],[L(mm)]]/2)</f>
        <v>1.1688023091601743E-3</v>
      </c>
      <c r="S12" s="110">
        <f>Table11234[[#This Row],[M (KN.mm)]]/(Table11234[[#This Row],[a (mm)]]*Table11234[[#This Row],[b (mm)]]*Table11234[[#This Row],[h (mm)]]*Table11234[[#This Row],[L(mm)]]/2)</f>
        <v>1.9173266226380814E-6</v>
      </c>
      <c r="T12" s="110">
        <f>G12/($AK$5*AH12*0.001*Table11234[[#This Row],[pho (%)]])</f>
        <v>6.6912079214396777E-6</v>
      </c>
      <c r="U12" s="110">
        <f>Table11234[[#This Row],[M (KN.mm)]]/(Table11234[[#This Row],[b (mm)]]*Table11234[[#This Row],[d (mm)]]*Table11234[[#This Row],[pho (%)]])</f>
        <v>1.5592215678922492</v>
      </c>
      <c r="V12" s="110">
        <f>E12*224.8/(2*SQRT(Table11234[[#This Row],[fc (Mpa)]]*145.037)*Table11234[[#This Row],[b (mm)]]*Table11234[[#This Row],[d (mm)]]*(1/25.4)^2)</f>
        <v>2.6276968034957475</v>
      </c>
      <c r="W12" s="110">
        <f>Table11234[[#This Row],[M (KN.mm)]]/$G$14</f>
        <v>0.74500000000000011</v>
      </c>
      <c r="X12" s="110">
        <f t="shared" si="9"/>
        <v>2.6276968034957475</v>
      </c>
      <c r="Y12" s="110">
        <f t="shared" si="4"/>
        <v>609.59999999999991</v>
      </c>
      <c r="Z12" s="110">
        <f t="shared" si="5"/>
        <v>266.7</v>
      </c>
      <c r="AA12" s="110">
        <f t="shared" si="6"/>
        <v>304.79999999999995</v>
      </c>
      <c r="AB12" s="110">
        <f t="shared" si="7"/>
        <v>228.6</v>
      </c>
      <c r="AC12" s="7">
        <v>24.82</v>
      </c>
      <c r="AD12" s="110">
        <f>Table11234[[#This Row],[pho (%)]]/100*Table11234[[#This Row],[b (mm)]]*Table11234[[#This Row],[h (mm)]]</f>
        <v>592.25687999999991</v>
      </c>
      <c r="AE12" s="111">
        <v>0.85</v>
      </c>
      <c r="AF12" s="110">
        <v>629</v>
      </c>
      <c r="AG12" s="110">
        <f>(1/3-0.21*(MIN(Table11234[[#This Row],[b (mm)]],AA12)/MAX(Table11234[[#This Row],[b (mm)]],AA12))*(MIN(Table11234[[#This Row],[b (mm)]],AA12)^4/(12*MAX(Table11234[[#This Row],[b (mm)]],AA12)^4)))*MAX(Table11234[[#This Row],[b (mm)]],AA12)*MIN(Table11234[[#This Row],[b (mm)]],AA12)^3</f>
        <v>1198609576.1573534</v>
      </c>
      <c r="AH12" s="110">
        <f>Table11234[[#This Row],[b (mm)]]*AA12^3/12</f>
        <v>539435927.57759976</v>
      </c>
      <c r="AI12" s="110">
        <f t="shared" si="8"/>
        <v>1984.375</v>
      </c>
      <c r="AJ12" s="106"/>
      <c r="AK12" s="107"/>
    </row>
    <row r="13" spans="1:39" x14ac:dyDescent="0.25">
      <c r="A13" s="121" t="s">
        <v>70</v>
      </c>
      <c r="B13" s="110" t="s">
        <v>64</v>
      </c>
      <c r="C13" s="110">
        <v>28</v>
      </c>
      <c r="D13" s="110">
        <f>Table11234[[#This Row],[a (mm)]]/Table11234[[#This Row],[d (mm)]]</f>
        <v>2.2857142857142856</v>
      </c>
      <c r="E13" s="110">
        <v>154.79040000000001</v>
      </c>
      <c r="F13" s="127">
        <f>Table11234[[#This Row],[d (mm)]]</f>
        <v>266.7</v>
      </c>
      <c r="G13" s="110">
        <f t="shared" si="0"/>
        <v>94360.227839999992</v>
      </c>
      <c r="H13" s="110">
        <f t="shared" si="1"/>
        <v>6.6418097421538801E-6</v>
      </c>
      <c r="I13" s="110">
        <f>G13/(Table11234[[#This Row],[b (mm)]]*Z13^2)</f>
        <v>5.8031891120471583E-3</v>
      </c>
      <c r="J13" s="110">
        <f t="shared" si="2"/>
        <v>0.94974104050149888</v>
      </c>
      <c r="K13" s="110">
        <f t="shared" si="3"/>
        <v>4.1127909131615726E-6</v>
      </c>
      <c r="L13" s="110">
        <f>E13/(Table11234[[#This Row],[b (mm)]]*Z13)</f>
        <v>2.5388952365206319E-3</v>
      </c>
      <c r="M13" s="110">
        <f>Table11234[[#This Row],[M (KN.mm)]]/(Table11234[[#This Row],[b (mm)]]*Table11234[[#This Row],[d (mm)]])</f>
        <v>1.547710536182977</v>
      </c>
      <c r="N13" s="110">
        <f>Table11234[[#This Row],[M (KN.mm)]]/(Table11234[[#This Row],[b (mm)]]*Table11234[[#This Row],[h (mm)]])</f>
        <v>1.3542467191601051</v>
      </c>
      <c r="O13" s="110">
        <f>Table11234[[#This Row],[M (KN.mm)]]/(Table11234[[#This Row],[b (mm)]]*Table11234[[#This Row],[h (mm)]]*Table11234[[#This Row],[L(mm)]])</f>
        <v>6.8245503957674596E-4</v>
      </c>
      <c r="P13" s="110">
        <f>Table11234[[#This Row],[M (KN.mm)]]/(Table11234[[#This Row],[b (mm)]]*Table11234[[#This Row],[d (mm)]]*Table11234[[#This Row],[L(mm)]])</f>
        <v>7.7994861665913807E-4</v>
      </c>
      <c r="Q13" s="110">
        <f>Table11234[[#This Row],[M (KN.mm)]]/(Table11234[[#This Row],[b (mm)]]*Table11234[[#This Row],[h (mm)]]*Table11234[[#This Row],[L(mm)]]*Table11234[[#This Row],[fc (Mpa)]])</f>
        <v>2.7496174036129972E-5</v>
      </c>
      <c r="R13" s="110">
        <f>Table11234[[#This Row],[M (KN.mm)]]/(Table11234[[#This Row],[b (mm)]]*Table11234[[#This Row],[h (mm)]]*Table11234[[#This Row],[L(mm)]]/2)</f>
        <v>1.3649100791534919E-3</v>
      </c>
      <c r="S13" s="110">
        <f>Table11234[[#This Row],[M (KN.mm)]]/(Table11234[[#This Row],[a (mm)]]*Table11234[[#This Row],[b (mm)]]*Table11234[[#This Row],[h (mm)]]*Table11234[[#This Row],[L(mm)]]/2)</f>
        <v>2.2390257203961482E-6</v>
      </c>
      <c r="T13" s="110">
        <f>G13/($AK$5*AH13*0.001*Table11234[[#This Row],[pho (%)]])</f>
        <v>7.8138938142986821E-6</v>
      </c>
      <c r="U13" s="110">
        <f>Table11234[[#This Row],[M (KN.mm)]]/(Table11234[[#This Row],[b (mm)]]*Table11234[[#This Row],[d (mm)]]*Table11234[[#This Row],[pho (%)]])</f>
        <v>1.8208359249211497</v>
      </c>
      <c r="V13" s="110">
        <f>E13*224.8/(2*SQRT(Table11234[[#This Row],[fc (Mpa)]]*145.037)*Table11234[[#This Row],[b (mm)]]*Table11234[[#This Row],[d (mm)]]*(1/25.4)^2)</f>
        <v>3.0685855289144963</v>
      </c>
      <c r="W13" s="110">
        <f>Table11234[[#This Row],[M (KN.mm)]]/$G$14</f>
        <v>0.87</v>
      </c>
      <c r="X13" s="110">
        <f t="shared" si="9"/>
        <v>3.0685855289144963</v>
      </c>
      <c r="Y13" s="110">
        <f t="shared" si="4"/>
        <v>609.59999999999991</v>
      </c>
      <c r="Z13" s="110">
        <f t="shared" si="5"/>
        <v>266.7</v>
      </c>
      <c r="AA13" s="110">
        <f t="shared" si="6"/>
        <v>304.79999999999995</v>
      </c>
      <c r="AB13" s="110">
        <f t="shared" si="7"/>
        <v>228.6</v>
      </c>
      <c r="AC13" s="7">
        <v>24.82</v>
      </c>
      <c r="AD13" s="110">
        <f>Table11234[[#This Row],[pho (%)]]/100*Table11234[[#This Row],[b (mm)]]*Table11234[[#This Row],[h (mm)]]</f>
        <v>592.25687999999991</v>
      </c>
      <c r="AE13" s="111">
        <v>0.85</v>
      </c>
      <c r="AF13" s="110">
        <v>629</v>
      </c>
      <c r="AG13" s="110">
        <f>(1/3-0.21*(MIN(Table11234[[#This Row],[b (mm)]],AA13)/MAX(Table11234[[#This Row],[b (mm)]],AA13))*(MIN(Table11234[[#This Row],[b (mm)]],AA13)^4/(12*MAX(Table11234[[#This Row],[b (mm)]],AA13)^4)))*MAX(Table11234[[#This Row],[b (mm)]],AA13)*MIN(Table11234[[#This Row],[b (mm)]],AA13)^3</f>
        <v>1198609576.1573534</v>
      </c>
      <c r="AH13" s="110">
        <f>Table11234[[#This Row],[b (mm)]]*AA13^3/12</f>
        <v>539435927.57759976</v>
      </c>
      <c r="AI13" s="110">
        <f t="shared" si="8"/>
        <v>1984.375</v>
      </c>
      <c r="AJ13" s="106"/>
      <c r="AK13" s="107"/>
    </row>
    <row r="14" spans="1:39" x14ac:dyDescent="0.25">
      <c r="A14" s="122" t="s">
        <v>70</v>
      </c>
      <c r="B14" s="110" t="s">
        <v>65</v>
      </c>
      <c r="C14" s="110">
        <v>29</v>
      </c>
      <c r="D14" s="110">
        <f>Table11234[[#This Row],[a (mm)]]/Table11234[[#This Row],[d (mm)]]</f>
        <v>2.2857142857142856</v>
      </c>
      <c r="E14" s="110">
        <v>177.92000000000002</v>
      </c>
      <c r="F14" s="127">
        <f>Table11234[[#This Row],[d (mm)]]</f>
        <v>266.7</v>
      </c>
      <c r="G14" s="110">
        <f t="shared" si="0"/>
        <v>108460.03199999999</v>
      </c>
      <c r="H14" s="110">
        <f t="shared" si="1"/>
        <v>7.6342640714412412E-6</v>
      </c>
      <c r="I14" s="110">
        <f>G14/(Table11234[[#This Row],[b (mm)]]*Z14^2)</f>
        <v>6.6703323126978834E-3</v>
      </c>
      <c r="J14" s="110">
        <f t="shared" si="2"/>
        <v>1.0916563683925276</v>
      </c>
      <c r="K14" s="110">
        <f t="shared" si="3"/>
        <v>4.7273458771972104E-6</v>
      </c>
      <c r="L14" s="110">
        <f>E14/(Table11234[[#This Row],[b (mm)]]*Z14)</f>
        <v>2.9182703868053245E-3</v>
      </c>
      <c r="M14" s="110">
        <f>Table11234[[#This Row],[M (KN.mm)]]/(Table11234[[#This Row],[b (mm)]]*Table11234[[#This Row],[d (mm)]])</f>
        <v>1.7789776277965255</v>
      </c>
      <c r="N14" s="110">
        <f>Table11234[[#This Row],[M (KN.mm)]]/(Table11234[[#This Row],[b (mm)]]*Table11234[[#This Row],[h (mm)]])</f>
        <v>1.55660542432196</v>
      </c>
      <c r="O14" s="110">
        <f>Table11234[[#This Row],[M (KN.mm)]]/(Table11234[[#This Row],[b (mm)]]*Table11234[[#This Row],[h (mm)]]*Table11234[[#This Row],[L(mm)]])</f>
        <v>7.8443107997327121E-4</v>
      </c>
      <c r="P14" s="110">
        <f>Table11234[[#This Row],[M (KN.mm)]]/(Table11234[[#This Row],[b (mm)]]*Table11234[[#This Row],[d (mm)]]*Table11234[[#This Row],[L(mm)]])</f>
        <v>8.9649266282659551E-4</v>
      </c>
      <c r="Q14" s="110">
        <f>Table11234[[#This Row],[M (KN.mm)]]/(Table11234[[#This Row],[b (mm)]]*Table11234[[#This Row],[h (mm)]]*Table11234[[#This Row],[L(mm)]]*Table11234[[#This Row],[fc (Mpa)]])</f>
        <v>3.1604797742678127E-5</v>
      </c>
      <c r="R14" s="110">
        <f>Table11234[[#This Row],[M (KN.mm)]]/(Table11234[[#This Row],[b (mm)]]*Table11234[[#This Row],[h (mm)]]*Table11234[[#This Row],[L(mm)]]/2)</f>
        <v>1.5688621599465424E-3</v>
      </c>
      <c r="S14" s="110">
        <f>Table11234[[#This Row],[M (KN.mm)]]/(Table11234[[#This Row],[a (mm)]]*Table11234[[#This Row],[b (mm)]]*Table11234[[#This Row],[h (mm)]]*Table11234[[#This Row],[L(mm)]]/2)</f>
        <v>2.5735927820645385E-6</v>
      </c>
      <c r="T14" s="110">
        <f>G14/($AK$5*AH14*0.001*Table11234[[#This Row],[pho (%)]])</f>
        <v>8.9814871428720488E-6</v>
      </c>
      <c r="U14" s="110">
        <f>Table11234[[#This Row],[M (KN.mm)]]/(Table11234[[#This Row],[b (mm)]]*Table11234[[#This Row],[d (mm)]]*Table11234[[#This Row],[pho (%)]])</f>
        <v>2.0929148562312068</v>
      </c>
      <c r="V14" s="110">
        <f>E14*224.8/(2*SQRT(Table11234[[#This Row],[fc (Mpa)]]*145.037)*Table11234[[#This Row],[b (mm)]]*Table11234[[#This Row],[d (mm)]]*(1/25.4)^2)</f>
        <v>3.5271098033499961</v>
      </c>
      <c r="W14" s="110">
        <f>Table11234[[#This Row],[M (KN.mm)]]/$G$14</f>
        <v>1</v>
      </c>
      <c r="X14" s="110">
        <f t="shared" si="9"/>
        <v>3.5271098033499961</v>
      </c>
      <c r="Y14" s="110">
        <f t="shared" si="4"/>
        <v>609.59999999999991</v>
      </c>
      <c r="Z14" s="110">
        <f t="shared" si="5"/>
        <v>266.7</v>
      </c>
      <c r="AA14" s="110">
        <f t="shared" si="6"/>
        <v>304.79999999999995</v>
      </c>
      <c r="AB14" s="110">
        <f t="shared" si="7"/>
        <v>228.6</v>
      </c>
      <c r="AC14" s="7">
        <v>24.82</v>
      </c>
      <c r="AD14" s="110">
        <f>Table11234[[#This Row],[pho (%)]]/100*Table11234[[#This Row],[b (mm)]]*Table11234[[#This Row],[h (mm)]]</f>
        <v>592.25687999999991</v>
      </c>
      <c r="AE14" s="111">
        <v>0.85</v>
      </c>
      <c r="AF14" s="110">
        <v>629</v>
      </c>
      <c r="AG14" s="110">
        <f>(1/3-0.21*(MIN(Table11234[[#This Row],[b (mm)]],AA14)/MAX(Table11234[[#This Row],[b (mm)]],AA14))*(MIN(Table11234[[#This Row],[b (mm)]],AA14)^4/(12*MAX(Table11234[[#This Row],[b (mm)]],AA14)^4)))*MAX(Table11234[[#This Row],[b (mm)]],AA14)*MIN(Table11234[[#This Row],[b (mm)]],AA14)^3</f>
        <v>1198609576.1573534</v>
      </c>
      <c r="AH14" s="110">
        <f>Table11234[[#This Row],[b (mm)]]*AA14^3/12</f>
        <v>539435927.57759976</v>
      </c>
      <c r="AI14" s="110">
        <f t="shared" si="8"/>
        <v>1984.375</v>
      </c>
      <c r="AJ14" s="106"/>
      <c r="AK14" s="107"/>
    </row>
    <row r="15" spans="1:39" x14ac:dyDescent="0.25">
      <c r="A15" s="115" t="s">
        <v>71</v>
      </c>
      <c r="B15" s="109" t="s">
        <v>60</v>
      </c>
      <c r="C15" s="109">
        <v>30</v>
      </c>
      <c r="D15" s="110">
        <f>Table11234[[#This Row],[a (mm)]]/Table11234[[#This Row],[d (mm)]]</f>
        <v>2.2857142857142856</v>
      </c>
      <c r="E15" s="109">
        <v>81.843199999999996</v>
      </c>
      <c r="F15" s="127">
        <f>Table11234[[#This Row],[d (mm)]]</f>
        <v>266.7</v>
      </c>
      <c r="G15" s="109">
        <f t="shared" si="0"/>
        <v>49891.61471999999</v>
      </c>
      <c r="H15" s="109">
        <f t="shared" si="1"/>
        <v>3.5117614728629707E-6</v>
      </c>
      <c r="I15" s="109">
        <f>G15/(Table11234[[#This Row],[b (mm)]]*Z15^2)</f>
        <v>3.0683528638410259E-3</v>
      </c>
      <c r="J15" s="109">
        <f t="shared" si="2"/>
        <v>0.77606843643905132</v>
      </c>
      <c r="K15" s="109">
        <f t="shared" si="3"/>
        <v>2.1745791035107164E-6</v>
      </c>
      <c r="L15" s="109">
        <f>E15/(Table11234[[#This Row],[b (mm)]]*Z15)</f>
        <v>1.342404377930449E-3</v>
      </c>
      <c r="M15" s="109">
        <f>Table11234[[#This Row],[M (KN.mm)]]/(Table11234[[#This Row],[b (mm)]]*Table11234[[#This Row],[d (mm)]])</f>
        <v>0.81832970878640166</v>
      </c>
      <c r="N15" s="109">
        <f>Table11234[[#This Row],[M (KN.mm)]]/(Table11234[[#This Row],[b (mm)]]*Table11234[[#This Row],[h (mm)]])</f>
        <v>0.71603849518810148</v>
      </c>
      <c r="O15" s="109">
        <f>Table11234[[#This Row],[M (KN.mm)]]/(Table11234[[#This Row],[b (mm)]]*Table11234[[#This Row],[h (mm)]]*Table11234[[#This Row],[L(mm)]])</f>
        <v>3.608382967877047E-4</v>
      </c>
      <c r="P15" s="109">
        <f>Table11234[[#This Row],[M (KN.mm)]]/(Table11234[[#This Row],[b (mm)]]*Table11234[[#This Row],[d (mm)]]*Table11234[[#This Row],[L(mm)]])</f>
        <v>4.1238662490023387E-4</v>
      </c>
      <c r="Q15" s="109">
        <f>Table11234[[#This Row],[M (KN.mm)]]/(Table11234[[#This Row],[b (mm)]]*Table11234[[#This Row],[h (mm)]]*Table11234[[#This Row],[L(mm)]]*Table11234[[#This Row],[fc (Mpa)]])</f>
        <v>1.0682009970032702E-5</v>
      </c>
      <c r="R15" s="109">
        <f>Table11234[[#This Row],[M (KN.mm)]]/(Table11234[[#This Row],[b (mm)]]*Table11234[[#This Row],[h (mm)]]*Table11234[[#This Row],[L(mm)]]/2)</f>
        <v>7.216765935754094E-4</v>
      </c>
      <c r="S15" s="109">
        <f>Table11234[[#This Row],[M (KN.mm)]]/(Table11234[[#This Row],[a (mm)]]*Table11234[[#This Row],[b (mm)]]*Table11234[[#This Row],[h (mm)]]*Table11234[[#This Row],[L(mm)]]/2)</f>
        <v>1.1838526797496875E-6</v>
      </c>
      <c r="T15" s="110">
        <f>G15/($AK$5*AH15*0.001*Table11234[[#This Row],[pho (%)]])</f>
        <v>6.3850208597508551E-6</v>
      </c>
      <c r="U15" s="109">
        <f>Table11234[[#This Row],[M (KN.mm)]]/(Table11234[[#This Row],[b (mm)]]*Table11234[[#This Row],[d (mm)]]*Table11234[[#This Row],[pho (%)]])</f>
        <v>1.4878721977934575</v>
      </c>
      <c r="V15" s="110">
        <f>E15*224.8/(2*SQRT(Table11234[[#This Row],[fc (Mpa)]]*145.037)*Table11234[[#This Row],[b (mm)]]*Table11234[[#This Row],[d (mm)]]*(1/25.4)^2)</f>
        <v>1.3907461861769692</v>
      </c>
      <c r="W15" s="110">
        <f>Table11234[[#This Row],[M (KN.mm)]]/$G$22</f>
        <v>0.4181818181818181</v>
      </c>
      <c r="X15" s="110">
        <f t="shared" si="9"/>
        <v>1.3907461861769692</v>
      </c>
      <c r="Y15" s="109">
        <f t="shared" si="4"/>
        <v>609.59999999999991</v>
      </c>
      <c r="Z15" s="109">
        <f t="shared" si="5"/>
        <v>266.7</v>
      </c>
      <c r="AA15" s="109">
        <f t="shared" si="6"/>
        <v>304.79999999999995</v>
      </c>
      <c r="AB15" s="109">
        <f t="shared" si="7"/>
        <v>228.6</v>
      </c>
      <c r="AC15" s="7">
        <v>33.78</v>
      </c>
      <c r="AD15" s="110">
        <f>Table11234[[#This Row],[pho (%)]]/100*Table11234[[#This Row],[b (mm)]]*Table11234[[#This Row],[h (mm)]]</f>
        <v>383.22503999999998</v>
      </c>
      <c r="AE15" s="111">
        <v>0.55000000000000004</v>
      </c>
      <c r="AF15" s="110">
        <v>629</v>
      </c>
      <c r="AG15" s="110">
        <f>(1/3-0.21*(MIN(Table11234[[#This Row],[b (mm)]],AA15)/MAX(Table11234[[#This Row],[b (mm)]],AA15))*(MIN(Table11234[[#This Row],[b (mm)]],AA15)^4/(12*MAX(Table11234[[#This Row],[b (mm)]],AA15)^4)))*MAX(Table11234[[#This Row],[b (mm)]],AA15)*MIN(Table11234[[#This Row],[b (mm)]],AA15)^3</f>
        <v>1198609576.1573534</v>
      </c>
      <c r="AH15" s="110">
        <f>Table11234[[#This Row],[b (mm)]]*AA15^3/12</f>
        <v>539435927.57759976</v>
      </c>
      <c r="AI15" s="110">
        <f t="shared" si="8"/>
        <v>1984.375</v>
      </c>
      <c r="AJ15" s="106"/>
      <c r="AK15" s="107"/>
    </row>
    <row r="16" spans="1:39" x14ac:dyDescent="0.25">
      <c r="A16" s="115" t="s">
        <v>71</v>
      </c>
      <c r="B16" s="109" t="s">
        <v>61</v>
      </c>
      <c r="C16" s="109">
        <v>31</v>
      </c>
      <c r="D16" s="110">
        <f>Table11234[[#This Row],[a (mm)]]/Table11234[[#This Row],[d (mm)]]</f>
        <v>2.2857142857142856</v>
      </c>
      <c r="E16" s="109">
        <v>95.187200000000004</v>
      </c>
      <c r="F16" s="127">
        <f>Table11234[[#This Row],[d (mm)]]</f>
        <v>266.7</v>
      </c>
      <c r="G16" s="109">
        <f t="shared" si="0"/>
        <v>58026.117119999995</v>
      </c>
      <c r="H16" s="109">
        <f t="shared" si="1"/>
        <v>4.0843312782210639E-6</v>
      </c>
      <c r="I16" s="109">
        <f>G16/(Table11234[[#This Row],[b (mm)]]*Z16^2)</f>
        <v>3.5686277872933676E-3</v>
      </c>
      <c r="J16" s="109">
        <f t="shared" si="2"/>
        <v>0.90260133368454887</v>
      </c>
      <c r="K16" s="109">
        <f t="shared" si="3"/>
        <v>2.5291300443005076E-6</v>
      </c>
      <c r="L16" s="109">
        <f>E16/(Table11234[[#This Row],[b (mm)]]*Z16)</f>
        <v>1.5612746569408484E-3</v>
      </c>
      <c r="M16" s="109">
        <f>Table11234[[#This Row],[M (KN.mm)]]/(Table11234[[#This Row],[b (mm)]]*Table11234[[#This Row],[d (mm)]])</f>
        <v>0.95175303087114116</v>
      </c>
      <c r="N16" s="109">
        <f>Table11234[[#This Row],[M (KN.mm)]]/(Table11234[[#This Row],[b (mm)]]*Table11234[[#This Row],[h (mm)]])</f>
        <v>0.83278390201224861</v>
      </c>
      <c r="O16" s="109">
        <f>Table11234[[#This Row],[M (KN.mm)]]/(Table11234[[#This Row],[b (mm)]]*Table11234[[#This Row],[h (mm)]]*Table11234[[#This Row],[L(mm)]])</f>
        <v>4.1967062778570008E-4</v>
      </c>
      <c r="P16" s="109">
        <f>Table11234[[#This Row],[M (KN.mm)]]/(Table11234[[#This Row],[b (mm)]]*Table11234[[#This Row],[d (mm)]]*Table11234[[#This Row],[L(mm)]])</f>
        <v>4.7962357461222861E-4</v>
      </c>
      <c r="Q16" s="109">
        <f>Table11234[[#This Row],[M (KN.mm)]]/(Table11234[[#This Row],[b (mm)]]*Table11234[[#This Row],[h (mm)]]*Table11234[[#This Row],[L(mm)]]*Table11234[[#This Row],[fc (Mpa)]])</f>
        <v>1.2423642030364123E-5</v>
      </c>
      <c r="R16" s="109">
        <f>Table11234[[#This Row],[M (KN.mm)]]/(Table11234[[#This Row],[b (mm)]]*Table11234[[#This Row],[h (mm)]]*Table11234[[#This Row],[L(mm)]]/2)</f>
        <v>8.3934125557140016E-4</v>
      </c>
      <c r="S16" s="109">
        <f>Table11234[[#This Row],[M (KN.mm)]]/(Table11234[[#This Row],[a (mm)]]*Table11234[[#This Row],[b (mm)]]*Table11234[[#This Row],[h (mm)]]*Table11234[[#This Row],[L(mm)]]/2)</f>
        <v>1.3768721384045279E-6</v>
      </c>
      <c r="T16" s="110">
        <f>G16/($AK$5*AH16*0.001*Table11234[[#This Row],[pho (%)]])</f>
        <v>7.4260568694928436E-6</v>
      </c>
      <c r="U16" s="109">
        <f>Table11234[[#This Row],[M (KN.mm)]]/(Table11234[[#This Row],[b (mm)]]*Table11234[[#This Row],[d (mm)]]*Table11234[[#This Row],[pho (%)]])</f>
        <v>1.7304600561293473</v>
      </c>
      <c r="V16" s="110">
        <f>E16*224.8/(2*SQRT(Table11234[[#This Row],[fc (Mpa)]]*145.037)*Table11234[[#This Row],[b (mm)]]*Table11234[[#This Row],[d (mm)]]*(1/25.4)^2)</f>
        <v>1.6174982817493013</v>
      </c>
      <c r="W16" s="110">
        <f>Table11234[[#This Row],[M (KN.mm)]]/$G$22</f>
        <v>0.48636363636363633</v>
      </c>
      <c r="X16" s="110">
        <f t="shared" si="9"/>
        <v>1.6174982817493013</v>
      </c>
      <c r="Y16" s="109">
        <f t="shared" si="4"/>
        <v>609.59999999999991</v>
      </c>
      <c r="Z16" s="109">
        <f t="shared" si="5"/>
        <v>266.7</v>
      </c>
      <c r="AA16" s="109">
        <f t="shared" si="6"/>
        <v>304.79999999999995</v>
      </c>
      <c r="AB16" s="109">
        <f t="shared" si="7"/>
        <v>228.6</v>
      </c>
      <c r="AC16" s="7">
        <v>33.78</v>
      </c>
      <c r="AD16" s="110">
        <f>Table11234[[#This Row],[pho (%)]]/100*Table11234[[#This Row],[b (mm)]]*Table11234[[#This Row],[h (mm)]]</f>
        <v>383.22503999999998</v>
      </c>
      <c r="AE16" s="111">
        <v>0.55000000000000004</v>
      </c>
      <c r="AF16" s="110">
        <v>629</v>
      </c>
      <c r="AG16" s="110">
        <f>(1/3-0.21*(MIN(Table11234[[#This Row],[b (mm)]],AA16)/MAX(Table11234[[#This Row],[b (mm)]],AA16))*(MIN(Table11234[[#This Row],[b (mm)]],AA16)^4/(12*MAX(Table11234[[#This Row],[b (mm)]],AA16)^4)))*MAX(Table11234[[#This Row],[b (mm)]],AA16)*MIN(Table11234[[#This Row],[b (mm)]],AA16)^3</f>
        <v>1198609576.1573534</v>
      </c>
      <c r="AH16" s="110">
        <f>Table11234[[#This Row],[b (mm)]]*AA16^3/12</f>
        <v>539435927.57759976</v>
      </c>
      <c r="AI16" s="110">
        <f t="shared" si="8"/>
        <v>1984.375</v>
      </c>
      <c r="AJ16" s="106"/>
      <c r="AK16" s="107"/>
    </row>
    <row r="17" spans="1:39" x14ac:dyDescent="0.25">
      <c r="A17" s="115" t="s">
        <v>71</v>
      </c>
      <c r="B17" s="109" t="s">
        <v>62</v>
      </c>
      <c r="C17" s="109">
        <v>32</v>
      </c>
      <c r="D17" s="110">
        <f>Table11234[[#This Row],[a (mm)]]/Table11234[[#This Row],[d (mm)]]</f>
        <v>2.2857142857142856</v>
      </c>
      <c r="E17" s="109">
        <v>108.97600000000001</v>
      </c>
      <c r="F17" s="127">
        <f>Table11234[[#This Row],[d (mm)]]</f>
        <v>266.7</v>
      </c>
      <c r="G17" s="109">
        <f t="shared" si="0"/>
        <v>66431.7696</v>
      </c>
      <c r="H17" s="109">
        <f t="shared" si="1"/>
        <v>4.6759867437577604E-6</v>
      </c>
      <c r="I17" s="109">
        <f>G17/(Table11234[[#This Row],[b (mm)]]*Z17^2)</f>
        <v>4.0855785415274534E-3</v>
      </c>
      <c r="J17" s="109">
        <f t="shared" si="2"/>
        <v>1.033351994171563</v>
      </c>
      <c r="K17" s="109">
        <f t="shared" si="3"/>
        <v>2.8954993497832913E-6</v>
      </c>
      <c r="L17" s="109">
        <f>E17/(Table11234[[#This Row],[b (mm)]]*Z17)</f>
        <v>1.7874406119182612E-3</v>
      </c>
      <c r="M17" s="109">
        <f>Table11234[[#This Row],[M (KN.mm)]]/(Table11234[[#This Row],[b (mm)]]*Table11234[[#This Row],[d (mm)]])</f>
        <v>1.0896237970253719</v>
      </c>
      <c r="N17" s="109">
        <f>Table11234[[#This Row],[M (KN.mm)]]/(Table11234[[#This Row],[b (mm)]]*Table11234[[#This Row],[h (mm)]])</f>
        <v>0.95342082239720061</v>
      </c>
      <c r="O17" s="109">
        <f>Table11234[[#This Row],[M (KN.mm)]]/(Table11234[[#This Row],[b (mm)]]*Table11234[[#This Row],[h (mm)]]*Table11234[[#This Row],[L(mm)]])</f>
        <v>4.8046403648362862E-4</v>
      </c>
      <c r="P17" s="109">
        <f>Table11234[[#This Row],[M (KN.mm)]]/(Table11234[[#This Row],[b (mm)]]*Table11234[[#This Row],[d (mm)]]*Table11234[[#This Row],[L(mm)]])</f>
        <v>5.491017559812898E-4</v>
      </c>
      <c r="Q17" s="109">
        <f>Table11234[[#This Row],[M (KN.mm)]]/(Table11234[[#This Row],[b (mm)]]*Table11234[[#This Row],[h (mm)]]*Table11234[[#This Row],[L(mm)]]*Table11234[[#This Row],[fc (Mpa)]])</f>
        <v>1.422332849270659E-5</v>
      </c>
      <c r="R17" s="109">
        <f>Table11234[[#This Row],[M (KN.mm)]]/(Table11234[[#This Row],[b (mm)]]*Table11234[[#This Row],[h (mm)]]*Table11234[[#This Row],[L(mm)]]/2)</f>
        <v>9.6092807296725724E-4</v>
      </c>
      <c r="S17" s="109">
        <f>Table11234[[#This Row],[M (KN.mm)]]/(Table11234[[#This Row],[a (mm)]]*Table11234[[#This Row],[b (mm)]]*Table11234[[#This Row],[h (mm)]]*Table11234[[#This Row],[L(mm)]]/2)</f>
        <v>1.5763255790145298E-6</v>
      </c>
      <c r="T17" s="110">
        <f>G17/($AK$5*AH17*0.001*Table11234[[#This Row],[pho (%)]])</f>
        <v>8.5017940795595642E-6</v>
      </c>
      <c r="U17" s="109">
        <f>Table11234[[#This Row],[M (KN.mm)]]/(Table11234[[#This Row],[b (mm)]]*Table11234[[#This Row],[d (mm)]]*Table11234[[#This Row],[pho (%)]])</f>
        <v>1.981134176409767</v>
      </c>
      <c r="V17" s="110">
        <f>E17*224.8/(2*SQRT(Table11234[[#This Row],[fc (Mpa)]]*145.037)*Table11234[[#This Row],[b (mm)]]*Table11234[[#This Row],[d (mm)]]*(1/25.4)^2)</f>
        <v>1.851808780507378</v>
      </c>
      <c r="W17" s="110">
        <f>Table11234[[#This Row],[M (KN.mm)]]/$G$22</f>
        <v>0.55681818181818177</v>
      </c>
      <c r="X17" s="110">
        <f t="shared" si="9"/>
        <v>1.851808780507378</v>
      </c>
      <c r="Y17" s="109">
        <f t="shared" si="4"/>
        <v>609.59999999999991</v>
      </c>
      <c r="Z17" s="109">
        <f t="shared" si="5"/>
        <v>266.7</v>
      </c>
      <c r="AA17" s="109">
        <f t="shared" si="6"/>
        <v>304.79999999999995</v>
      </c>
      <c r="AB17" s="109">
        <f t="shared" si="7"/>
        <v>228.6</v>
      </c>
      <c r="AC17" s="7">
        <v>33.78</v>
      </c>
      <c r="AD17" s="110">
        <f>Table11234[[#This Row],[pho (%)]]/100*Table11234[[#This Row],[b (mm)]]*Table11234[[#This Row],[h (mm)]]</f>
        <v>383.22503999999998</v>
      </c>
      <c r="AE17" s="111">
        <v>0.55000000000000004</v>
      </c>
      <c r="AF17" s="110">
        <v>629</v>
      </c>
      <c r="AG17" s="110">
        <f>(1/3-0.21*(MIN(Table11234[[#This Row],[b (mm)]],AA17)/MAX(Table11234[[#This Row],[b (mm)]],AA17))*(MIN(Table11234[[#This Row],[b (mm)]],AA17)^4/(12*MAX(Table11234[[#This Row],[b (mm)]],AA17)^4)))*MAX(Table11234[[#This Row],[b (mm)]],AA17)*MIN(Table11234[[#This Row],[b (mm)]],AA17)^3</f>
        <v>1198609576.1573534</v>
      </c>
      <c r="AH17" s="110">
        <f>Table11234[[#This Row],[b (mm)]]*AA17^3/12</f>
        <v>539435927.57759976</v>
      </c>
      <c r="AI17" s="110">
        <f t="shared" si="8"/>
        <v>1984.375</v>
      </c>
      <c r="AJ17" s="106"/>
      <c r="AK17" s="107"/>
    </row>
    <row r="18" spans="1:39" s="129" customFormat="1" x14ac:dyDescent="0.25">
      <c r="A18" s="115" t="s">
        <v>71</v>
      </c>
      <c r="B18" s="110" t="s">
        <v>63</v>
      </c>
      <c r="C18" s="110">
        <v>33</v>
      </c>
      <c r="D18" s="110">
        <f>Table11234[[#This Row],[a (mm)]]/Table11234[[#This Row],[d (mm)]]</f>
        <v>2.2857142857142856</v>
      </c>
      <c r="E18" s="110">
        <v>122.32000000000001</v>
      </c>
      <c r="F18" s="127">
        <f>Table11234[[#This Row],[d (mm)]]</f>
        <v>266.7</v>
      </c>
      <c r="G18" s="110">
        <f t="shared" si="0"/>
        <v>74566.271999999997</v>
      </c>
      <c r="H18" s="110">
        <f t="shared" si="1"/>
        <v>5.2485565491158536E-6</v>
      </c>
      <c r="I18" s="132">
        <f>G18/(Table11234[[#This Row],[b (mm)]]*Z18^2)</f>
        <v>4.5858534649797951E-3</v>
      </c>
      <c r="J18" s="110">
        <f t="shared" si="2"/>
        <v>1.1598848914170605</v>
      </c>
      <c r="K18" s="110">
        <f t="shared" si="3"/>
        <v>3.2500502905730821E-6</v>
      </c>
      <c r="L18" s="132">
        <f>E18/(Table11234[[#This Row],[b (mm)]]*Z18)</f>
        <v>2.0063108909286606E-3</v>
      </c>
      <c r="M18" s="132">
        <f>Table11234[[#This Row],[M (KN.mm)]]/(Table11234[[#This Row],[b (mm)]]*Table11234[[#This Row],[d (mm)]])</f>
        <v>1.2230471191101113</v>
      </c>
      <c r="N18" s="132">
        <f>Table11234[[#This Row],[M (KN.mm)]]/(Table11234[[#This Row],[b (mm)]]*Table11234[[#This Row],[h (mm)]])</f>
        <v>1.0701662292213476</v>
      </c>
      <c r="O18" s="133">
        <f>Table11234[[#This Row],[M (KN.mm)]]/(Table11234[[#This Row],[b (mm)]]*Table11234[[#This Row],[h (mm)]]*Table11234[[#This Row],[L(mm)]])</f>
        <v>5.39296367481624E-4</v>
      </c>
      <c r="P18" s="133">
        <f>Table11234[[#This Row],[M (KN.mm)]]/(Table11234[[#This Row],[b (mm)]]*Table11234[[#This Row],[d (mm)]]*Table11234[[#This Row],[L(mm)]])</f>
        <v>6.1633870569328443E-4</v>
      </c>
      <c r="Q18" s="133">
        <f>Table11234[[#This Row],[M (KN.mm)]]/(Table11234[[#This Row],[b (mm)]]*Table11234[[#This Row],[h (mm)]]*Table11234[[#This Row],[L(mm)]]*Table11234[[#This Row],[fc (Mpa)]])</f>
        <v>1.5964960553038011E-5</v>
      </c>
      <c r="R18" s="133">
        <f>Table11234[[#This Row],[M (KN.mm)]]/(Table11234[[#This Row],[b (mm)]]*Table11234[[#This Row],[h (mm)]]*Table11234[[#This Row],[L(mm)]]/2)</f>
        <v>1.078592734963248E-3</v>
      </c>
      <c r="S18" s="133">
        <f>Table11234[[#This Row],[M (KN.mm)]]/(Table11234[[#This Row],[a (mm)]]*Table11234[[#This Row],[b (mm)]]*Table11234[[#This Row],[h (mm)]]*Table11234[[#This Row],[L(mm)]]/2)</f>
        <v>1.7693450376693703E-6</v>
      </c>
      <c r="T18" s="110">
        <f>G18/($AK$5*AH18*0.001*Table11234[[#This Row],[pho (%)]])</f>
        <v>9.5428300893015519E-6</v>
      </c>
      <c r="U18" s="133">
        <f>Table11234[[#This Row],[M (KN.mm)]]/(Table11234[[#This Row],[b (mm)]]*Table11234[[#This Row],[d (mm)]]*Table11234[[#This Row],[pho (%)]])</f>
        <v>2.223722034745657</v>
      </c>
      <c r="V18" s="110">
        <f>E18*224.8/(2*SQRT(Table11234[[#This Row],[fc (Mpa)]]*145.037)*Table11234[[#This Row],[b (mm)]]*Table11234[[#This Row],[d (mm)]]*(1/25.4)^2)</f>
        <v>2.0785608760797096</v>
      </c>
      <c r="W18" s="110">
        <f>Table11234[[#This Row],[M (KN.mm)]]/$G$22</f>
        <v>0.625</v>
      </c>
      <c r="X18" s="110">
        <f t="shared" si="9"/>
        <v>2.0785608760797096</v>
      </c>
      <c r="Y18" s="110">
        <f t="shared" si="4"/>
        <v>609.59999999999991</v>
      </c>
      <c r="Z18" s="110">
        <f t="shared" si="5"/>
        <v>266.7</v>
      </c>
      <c r="AA18" s="110">
        <f t="shared" si="6"/>
        <v>304.79999999999995</v>
      </c>
      <c r="AB18" s="134">
        <f t="shared" si="7"/>
        <v>228.6</v>
      </c>
      <c r="AC18" s="7">
        <v>33.78</v>
      </c>
      <c r="AD18" s="110">
        <f>Table11234[[#This Row],[pho (%)]]/100*Table11234[[#This Row],[b (mm)]]*Table11234[[#This Row],[h (mm)]]</f>
        <v>383.22503999999998</v>
      </c>
      <c r="AE18" s="135">
        <v>0.55000000000000004</v>
      </c>
      <c r="AF18" s="110">
        <v>629</v>
      </c>
      <c r="AG18" s="132">
        <f>(1/3-0.21*(MIN(Table11234[[#This Row],[b (mm)]],AA18)/MAX(Table11234[[#This Row],[b (mm)]],AA18))*(MIN(Table11234[[#This Row],[b (mm)]],AA18)^4/(12*MAX(Table11234[[#This Row],[b (mm)]],AA18)^4)))*MAX(Table11234[[#This Row],[b (mm)]],AA18)*MIN(Table11234[[#This Row],[b (mm)]],AA18)^3</f>
        <v>1198609576.1573534</v>
      </c>
      <c r="AH18" s="132">
        <f>Table11234[[#This Row],[b (mm)]]*AA18^3/12</f>
        <v>539435927.57759976</v>
      </c>
      <c r="AI18" s="132">
        <f t="shared" si="8"/>
        <v>1984.375</v>
      </c>
      <c r="AJ18" s="106"/>
      <c r="AK18" s="128"/>
      <c r="AL18" s="106"/>
      <c r="AM18"/>
    </row>
    <row r="19" spans="1:39" s="129" customFormat="1" x14ac:dyDescent="0.25">
      <c r="A19" s="115" t="s">
        <v>71</v>
      </c>
      <c r="B19" s="110" t="s">
        <v>64</v>
      </c>
      <c r="C19" s="110">
        <v>34</v>
      </c>
      <c r="D19" s="110">
        <f>Table11234[[#This Row],[a (mm)]]/Table11234[[#This Row],[d (mm)]]</f>
        <v>2.2857142857142856</v>
      </c>
      <c r="E19" s="110">
        <v>135.66400000000002</v>
      </c>
      <c r="F19" s="127">
        <f>Table11234[[#This Row],[d (mm)]]</f>
        <v>266.7</v>
      </c>
      <c r="G19" s="110">
        <f t="shared" si="0"/>
        <v>82700.774399999995</v>
      </c>
      <c r="H19" s="110">
        <f t="shared" si="1"/>
        <v>5.8211263544739468E-6</v>
      </c>
      <c r="I19" s="132">
        <f>G19/(Table11234[[#This Row],[b (mm)]]*Z19^2)</f>
        <v>5.0861283884321359E-3</v>
      </c>
      <c r="J19" s="110">
        <f t="shared" si="2"/>
        <v>1.2864177886625581</v>
      </c>
      <c r="K19" s="110">
        <f t="shared" si="3"/>
        <v>3.6046012313628728E-6</v>
      </c>
      <c r="L19" s="132">
        <f>E19/(Table11234[[#This Row],[b (mm)]]*Z19)</f>
        <v>2.2251811699390599E-3</v>
      </c>
      <c r="M19" s="132">
        <f>Table11234[[#This Row],[M (KN.mm)]]/(Table11234[[#This Row],[b (mm)]]*Table11234[[#This Row],[d (mm)]])</f>
        <v>1.3564704411948507</v>
      </c>
      <c r="N19" s="132">
        <f>Table11234[[#This Row],[M (KN.mm)]]/(Table11234[[#This Row],[b (mm)]]*Table11234[[#This Row],[h (mm)]])</f>
        <v>1.1869116360454945</v>
      </c>
      <c r="O19" s="133">
        <f>Table11234[[#This Row],[M (KN.mm)]]/(Table11234[[#This Row],[b (mm)]]*Table11234[[#This Row],[h (mm)]]*Table11234[[#This Row],[L(mm)]])</f>
        <v>5.9812869847961927E-4</v>
      </c>
      <c r="P19" s="133">
        <f>Table11234[[#This Row],[M (KN.mm)]]/(Table11234[[#This Row],[b (mm)]]*Table11234[[#This Row],[d (mm)]]*Table11234[[#This Row],[L(mm)]])</f>
        <v>6.8357565540527905E-4</v>
      </c>
      <c r="Q19" s="133">
        <f>Table11234[[#This Row],[M (KN.mm)]]/(Table11234[[#This Row],[b (mm)]]*Table11234[[#This Row],[h (mm)]]*Table11234[[#This Row],[L(mm)]]*Table11234[[#This Row],[fc (Mpa)]])</f>
        <v>1.7706592613369428E-5</v>
      </c>
      <c r="R19" s="133">
        <f>Table11234[[#This Row],[M (KN.mm)]]/(Table11234[[#This Row],[b (mm)]]*Table11234[[#This Row],[h (mm)]]*Table11234[[#This Row],[L(mm)]]/2)</f>
        <v>1.1962573969592385E-3</v>
      </c>
      <c r="S19" s="133">
        <f>Table11234[[#This Row],[M (KN.mm)]]/(Table11234[[#This Row],[a (mm)]]*Table11234[[#This Row],[b (mm)]]*Table11234[[#This Row],[h (mm)]]*Table11234[[#This Row],[L(mm)]]/2)</f>
        <v>1.9623644963242103E-6</v>
      </c>
      <c r="T19" s="110">
        <f>G19/($AK$5*AH19*0.001*Table11234[[#This Row],[pho (%)]])</f>
        <v>1.058386609904354E-5</v>
      </c>
      <c r="U19" s="133">
        <f>Table11234[[#This Row],[M (KN.mm)]]/(Table11234[[#This Row],[b (mm)]]*Table11234[[#This Row],[d (mm)]]*Table11234[[#This Row],[pho (%)]])</f>
        <v>2.4663098930815464</v>
      </c>
      <c r="V19" s="110">
        <f>E19*224.8/(2*SQRT(Table11234[[#This Row],[fc (Mpa)]]*145.037)*Table11234[[#This Row],[b (mm)]]*Table11234[[#This Row],[d (mm)]]*(1/25.4)^2)</f>
        <v>2.3053129716520417</v>
      </c>
      <c r="W19" s="110">
        <f>Table11234[[#This Row],[M (KN.mm)]]/$G$22</f>
        <v>0.69318181818181812</v>
      </c>
      <c r="X19" s="110">
        <f t="shared" si="9"/>
        <v>2.3053129716520417</v>
      </c>
      <c r="Y19" s="110">
        <f t="shared" si="4"/>
        <v>609.59999999999991</v>
      </c>
      <c r="Z19" s="110">
        <f t="shared" si="5"/>
        <v>266.7</v>
      </c>
      <c r="AA19" s="110">
        <f t="shared" si="6"/>
        <v>304.79999999999995</v>
      </c>
      <c r="AB19" s="134">
        <f t="shared" si="7"/>
        <v>228.6</v>
      </c>
      <c r="AC19" s="7">
        <v>33.78</v>
      </c>
      <c r="AD19" s="110">
        <f>Table11234[[#This Row],[pho (%)]]/100*Table11234[[#This Row],[b (mm)]]*Table11234[[#This Row],[h (mm)]]</f>
        <v>383.22503999999998</v>
      </c>
      <c r="AE19" s="135">
        <v>0.55000000000000004</v>
      </c>
      <c r="AF19" s="110">
        <v>629</v>
      </c>
      <c r="AG19" s="132">
        <f>(1/3-0.21*(MIN(Table11234[[#This Row],[b (mm)]],AA19)/MAX(Table11234[[#This Row],[b (mm)]],AA19))*(MIN(Table11234[[#This Row],[b (mm)]],AA19)^4/(12*MAX(Table11234[[#This Row],[b (mm)]],AA19)^4)))*MAX(Table11234[[#This Row],[b (mm)]],AA19)*MIN(Table11234[[#This Row],[b (mm)]],AA19)^3</f>
        <v>1198609576.1573534</v>
      </c>
      <c r="AH19" s="132">
        <f>Table11234[[#This Row],[b (mm)]]*AA19^3/12</f>
        <v>539435927.57759976</v>
      </c>
      <c r="AI19" s="132">
        <f t="shared" si="8"/>
        <v>1984.375</v>
      </c>
      <c r="AJ19" s="106"/>
      <c r="AK19" s="128"/>
      <c r="AL19" s="106"/>
      <c r="AM19"/>
    </row>
    <row r="20" spans="1:39" s="129" customFormat="1" x14ac:dyDescent="0.25">
      <c r="A20" s="115" t="s">
        <v>71</v>
      </c>
      <c r="B20" s="110" t="s">
        <v>65</v>
      </c>
      <c r="C20" s="110">
        <v>35</v>
      </c>
      <c r="D20" s="110">
        <f>Table11234[[#This Row],[a (mm)]]/Table11234[[#This Row],[d (mm)]]</f>
        <v>2.2857142857142856</v>
      </c>
      <c r="E20" s="110">
        <v>158.34880000000001</v>
      </c>
      <c r="F20" s="127">
        <f>Table11234[[#This Row],[d (mm)]]</f>
        <v>266.7</v>
      </c>
      <c r="G20" s="110">
        <f t="shared" si="0"/>
        <v>96529.428479999988</v>
      </c>
      <c r="H20" s="110">
        <f t="shared" si="1"/>
        <v>6.7944950235827046E-6</v>
      </c>
      <c r="I20" s="132">
        <f>G20/(Table11234[[#This Row],[b (mm)]]*Z20^2)</f>
        <v>5.9365957583011157E-3</v>
      </c>
      <c r="J20" s="110">
        <f t="shared" si="2"/>
        <v>1.5015237139799036</v>
      </c>
      <c r="K20" s="110">
        <f t="shared" si="3"/>
        <v>4.2073378307055172E-6</v>
      </c>
      <c r="L20" s="132">
        <f>E20/(Table11234[[#This Row],[b (mm)]]*Z20)</f>
        <v>2.5972606442567388E-3</v>
      </c>
      <c r="M20" s="132">
        <f>Table11234[[#This Row],[M (KN.mm)]]/(Table11234[[#This Row],[b (mm)]]*Table11234[[#This Row],[d (mm)]])</f>
        <v>1.5832900887389076</v>
      </c>
      <c r="N20" s="132">
        <f>Table11234[[#This Row],[M (KN.mm)]]/(Table11234[[#This Row],[b (mm)]]*Table11234[[#This Row],[h (mm)]])</f>
        <v>1.3853788276465444</v>
      </c>
      <c r="O20" s="133">
        <f>Table11234[[#This Row],[M (KN.mm)]]/(Table11234[[#This Row],[b (mm)]]*Table11234[[#This Row],[h (mm)]]*Table11234[[#This Row],[L(mm)]])</f>
        <v>6.9814366117621136E-4</v>
      </c>
      <c r="P20" s="133">
        <f>Table11234[[#This Row],[M (KN.mm)]]/(Table11234[[#This Row],[b (mm)]]*Table11234[[#This Row],[d (mm)]]*Table11234[[#This Row],[L(mm)]])</f>
        <v>7.9787846991566998E-4</v>
      </c>
      <c r="Q20" s="133">
        <f>Table11234[[#This Row],[M (KN.mm)]]/(Table11234[[#This Row],[b (mm)]]*Table11234[[#This Row],[h (mm)]]*Table11234[[#This Row],[L(mm)]]*Table11234[[#This Row],[fc (Mpa)]])</f>
        <v>2.0667367115932838E-5</v>
      </c>
      <c r="R20" s="133">
        <f>Table11234[[#This Row],[M (KN.mm)]]/(Table11234[[#This Row],[b (mm)]]*Table11234[[#This Row],[h (mm)]]*Table11234[[#This Row],[L(mm)]]/2)</f>
        <v>1.3962873223524227E-3</v>
      </c>
      <c r="S20" s="133">
        <f>Table11234[[#This Row],[M (KN.mm)]]/(Table11234[[#This Row],[a (mm)]]*Table11234[[#This Row],[b (mm)]]*Table11234[[#This Row],[h (mm)]]*Table11234[[#This Row],[L(mm)]]/2)</f>
        <v>2.2904975760374389E-6</v>
      </c>
      <c r="T20" s="110">
        <f>G20/($AK$5*AH20*0.001*Table11234[[#This Row],[pho (%)]])</f>
        <v>1.2353627315604917E-5</v>
      </c>
      <c r="U20" s="133">
        <f>Table11234[[#This Row],[M (KN.mm)]]/(Table11234[[#This Row],[b (mm)]]*Table11234[[#This Row],[d (mm)]]*Table11234[[#This Row],[pho (%)]])</f>
        <v>2.878709252252559</v>
      </c>
      <c r="V20" s="110">
        <f>E20*224.8/(2*SQRT(Table11234[[#This Row],[fc (Mpa)]]*145.037)*Table11234[[#This Row],[b (mm)]]*Table11234[[#This Row],[d (mm)]]*(1/25.4)^2)</f>
        <v>2.6907915341250064</v>
      </c>
      <c r="W20" s="110">
        <f>Table11234[[#This Row],[M (KN.mm)]]/$G$22</f>
        <v>0.80909090909090897</v>
      </c>
      <c r="X20" s="110">
        <f t="shared" si="9"/>
        <v>2.6907915341250064</v>
      </c>
      <c r="Y20" s="110">
        <f t="shared" si="4"/>
        <v>609.59999999999991</v>
      </c>
      <c r="Z20" s="110">
        <f t="shared" si="5"/>
        <v>266.7</v>
      </c>
      <c r="AA20" s="110">
        <f t="shared" si="6"/>
        <v>304.79999999999995</v>
      </c>
      <c r="AB20" s="134">
        <f t="shared" si="7"/>
        <v>228.6</v>
      </c>
      <c r="AC20" s="7">
        <v>33.78</v>
      </c>
      <c r="AD20" s="110">
        <f>Table11234[[#This Row],[pho (%)]]/100*Table11234[[#This Row],[b (mm)]]*Table11234[[#This Row],[h (mm)]]</f>
        <v>383.22503999999998</v>
      </c>
      <c r="AE20" s="135">
        <v>0.55000000000000004</v>
      </c>
      <c r="AF20" s="110">
        <v>629</v>
      </c>
      <c r="AG20" s="132">
        <f>(1/3-0.21*(MIN(Table11234[[#This Row],[b (mm)]],AA20)/MAX(Table11234[[#This Row],[b (mm)]],AA20))*(MIN(Table11234[[#This Row],[b (mm)]],AA20)^4/(12*MAX(Table11234[[#This Row],[b (mm)]],AA20)^4)))*MAX(Table11234[[#This Row],[b (mm)]],AA20)*MIN(Table11234[[#This Row],[b (mm)]],AA20)^3</f>
        <v>1198609576.1573534</v>
      </c>
      <c r="AH20" s="132">
        <f>Table11234[[#This Row],[b (mm)]]*AA20^3/12</f>
        <v>539435927.57759976</v>
      </c>
      <c r="AI20" s="132">
        <f t="shared" si="8"/>
        <v>1984.375</v>
      </c>
      <c r="AJ20" s="106"/>
      <c r="AK20" s="128"/>
      <c r="AL20" s="106"/>
      <c r="AM20"/>
    </row>
    <row r="21" spans="1:39" s="129" customFormat="1" x14ac:dyDescent="0.25">
      <c r="A21" s="115" t="s">
        <v>71</v>
      </c>
      <c r="B21" s="110" t="s">
        <v>66</v>
      </c>
      <c r="C21" s="110">
        <v>36</v>
      </c>
      <c r="D21" s="110">
        <f>Table11234[[#This Row],[a (mm)]]/Table11234[[#This Row],[d (mm)]]</f>
        <v>2.2857142857142856</v>
      </c>
      <c r="E21" s="110">
        <v>180.58880000000002</v>
      </c>
      <c r="F21" s="127">
        <f>Table11234[[#This Row],[d (mm)]]</f>
        <v>266.7</v>
      </c>
      <c r="G21" s="110">
        <f t="shared" si="0"/>
        <v>110086.93248</v>
      </c>
      <c r="H21" s="110">
        <f t="shared" si="1"/>
        <v>7.7487780325128608E-6</v>
      </c>
      <c r="I21" s="132">
        <f>G21/(Table11234[[#This Row],[b (mm)]]*Z21^2)</f>
        <v>6.7703872973883519E-3</v>
      </c>
      <c r="J21" s="110">
        <f t="shared" si="2"/>
        <v>1.7124118760557332</v>
      </c>
      <c r="K21" s="110">
        <f t="shared" si="3"/>
        <v>4.798256065355169E-6</v>
      </c>
      <c r="L21" s="132">
        <f>E21/(Table11234[[#This Row],[b (mm)]]*Z21)</f>
        <v>2.9620444426074043E-3</v>
      </c>
      <c r="M21" s="132">
        <f>Table11234[[#This Row],[M (KN.mm)]]/(Table11234[[#This Row],[b (mm)]]*Table11234[[#This Row],[d (mm)]])</f>
        <v>1.8056622922134735</v>
      </c>
      <c r="N21" s="132">
        <f>Table11234[[#This Row],[M (KN.mm)]]/(Table11234[[#This Row],[b (mm)]]*Table11234[[#This Row],[h (mm)]])</f>
        <v>1.5799545056867896</v>
      </c>
      <c r="O21" s="133">
        <f>Table11234[[#This Row],[M (KN.mm)]]/(Table11234[[#This Row],[b (mm)]]*Table11234[[#This Row],[h (mm)]]*Table11234[[#This Row],[L(mm)]])</f>
        <v>7.9619754617287028E-4</v>
      </c>
      <c r="P21" s="133">
        <f>Table11234[[#This Row],[M (KN.mm)]]/(Table11234[[#This Row],[b (mm)]]*Table11234[[#This Row],[d (mm)]]*Table11234[[#This Row],[L(mm)]])</f>
        <v>9.0994005276899461E-4</v>
      </c>
      <c r="Q21" s="133">
        <f>Table11234[[#This Row],[M (KN.mm)]]/(Table11234[[#This Row],[b (mm)]]*Table11234[[#This Row],[h (mm)]]*Table11234[[#This Row],[L(mm)]]*Table11234[[#This Row],[fc (Mpa)]])</f>
        <v>2.3570087216485207E-5</v>
      </c>
      <c r="R21" s="133">
        <f>Table11234[[#This Row],[M (KN.mm)]]/(Table11234[[#This Row],[b (mm)]]*Table11234[[#This Row],[h (mm)]]*Table11234[[#This Row],[L(mm)]]/2)</f>
        <v>1.5923950923457406E-3</v>
      </c>
      <c r="S21" s="133">
        <f>Table11234[[#This Row],[M (KN.mm)]]/(Table11234[[#This Row],[a (mm)]]*Table11234[[#This Row],[b (mm)]]*Table11234[[#This Row],[h (mm)]]*Table11234[[#This Row],[L(mm)]]/2)</f>
        <v>2.6121966737955065E-6</v>
      </c>
      <c r="T21" s="110">
        <f>G21/($AK$5*AH21*0.001*Table11234[[#This Row],[pho (%)]])</f>
        <v>1.4088687331841565E-5</v>
      </c>
      <c r="U21" s="133">
        <f>Table11234[[#This Row],[M (KN.mm)]]/(Table11234[[#This Row],[b (mm)]]*Table11234[[#This Row],[d (mm)]]*Table11234[[#This Row],[pho (%)]])</f>
        <v>3.2830223494790425</v>
      </c>
      <c r="V21" s="110">
        <f>E21*224.8/(2*SQRT(Table11234[[#This Row],[fc (Mpa)]]*145.037)*Table11234[[#This Row],[b (mm)]]*Table11234[[#This Row],[d (mm)]]*(1/25.4)^2)</f>
        <v>3.0687116934122263</v>
      </c>
      <c r="W21" s="110">
        <f>Table11234[[#This Row],[M (KN.mm)]]/$G$22</f>
        <v>0.92272727272727273</v>
      </c>
      <c r="X21" s="110">
        <f t="shared" si="9"/>
        <v>3.0687116934122263</v>
      </c>
      <c r="Y21" s="110">
        <f t="shared" si="4"/>
        <v>609.59999999999991</v>
      </c>
      <c r="Z21" s="110">
        <f t="shared" si="5"/>
        <v>266.7</v>
      </c>
      <c r="AA21" s="110">
        <f t="shared" si="6"/>
        <v>304.79999999999995</v>
      </c>
      <c r="AB21" s="134">
        <f t="shared" si="7"/>
        <v>228.6</v>
      </c>
      <c r="AC21" s="7">
        <v>33.78</v>
      </c>
      <c r="AD21" s="110">
        <f>Table11234[[#This Row],[pho (%)]]/100*Table11234[[#This Row],[b (mm)]]*Table11234[[#This Row],[h (mm)]]</f>
        <v>383.22503999999998</v>
      </c>
      <c r="AE21" s="135">
        <v>0.55000000000000004</v>
      </c>
      <c r="AF21" s="110">
        <v>629</v>
      </c>
      <c r="AG21" s="132">
        <f>(1/3-0.21*(MIN(Table11234[[#This Row],[b (mm)]],AA21)/MAX(Table11234[[#This Row],[b (mm)]],AA21))*(MIN(Table11234[[#This Row],[b (mm)]],AA21)^4/(12*MAX(Table11234[[#This Row],[b (mm)]],AA21)^4)))*MAX(Table11234[[#This Row],[b (mm)]],AA21)*MIN(Table11234[[#This Row],[b (mm)]],AA21)^3</f>
        <v>1198609576.1573534</v>
      </c>
      <c r="AH21" s="132">
        <f>Table11234[[#This Row],[b (mm)]]*AA21^3/12</f>
        <v>539435927.57759976</v>
      </c>
      <c r="AI21" s="132">
        <f t="shared" si="8"/>
        <v>1984.375</v>
      </c>
      <c r="AJ21" s="106"/>
      <c r="AK21" s="128"/>
      <c r="AL21" s="106"/>
      <c r="AM21"/>
    </row>
    <row r="22" spans="1:39" s="129" customFormat="1" x14ac:dyDescent="0.25">
      <c r="A22" s="116" t="s">
        <v>71</v>
      </c>
      <c r="B22" s="110" t="s">
        <v>67</v>
      </c>
      <c r="C22" s="110">
        <v>37</v>
      </c>
      <c r="D22" s="110">
        <f>Table11234[[#This Row],[a (mm)]]/Table11234[[#This Row],[d (mm)]]</f>
        <v>2.2857142857142856</v>
      </c>
      <c r="E22" s="110">
        <v>195.71200000000002</v>
      </c>
      <c r="F22" s="127">
        <f>Table11234[[#This Row],[d (mm)]]</f>
        <v>266.7</v>
      </c>
      <c r="G22" s="110">
        <f t="shared" si="0"/>
        <v>119306.0352</v>
      </c>
      <c r="H22" s="110">
        <f t="shared" si="1"/>
        <v>8.3976904785853655E-6</v>
      </c>
      <c r="I22" s="132">
        <f>G22/(Table11234[[#This Row],[b (mm)]]*Z22^2)</f>
        <v>7.3373655439676723E-3</v>
      </c>
      <c r="J22" s="110">
        <f t="shared" si="2"/>
        <v>1.8558158262672968</v>
      </c>
      <c r="K22" s="110">
        <f t="shared" si="3"/>
        <v>5.2000804649169316E-6</v>
      </c>
      <c r="L22" s="132">
        <f>E22/(Table11234[[#This Row],[b (mm)]]*Z22)</f>
        <v>3.2100974254858569E-3</v>
      </c>
      <c r="M22" s="132">
        <f>Table11234[[#This Row],[M (KN.mm)]]/(Table11234[[#This Row],[b (mm)]]*Table11234[[#This Row],[d (mm)]])</f>
        <v>1.9568753905761782</v>
      </c>
      <c r="N22" s="132">
        <f>Table11234[[#This Row],[M (KN.mm)]]/(Table11234[[#This Row],[b (mm)]]*Table11234[[#This Row],[h (mm)]])</f>
        <v>1.712265966754156</v>
      </c>
      <c r="O22" s="133">
        <f>Table11234[[#This Row],[M (KN.mm)]]/(Table11234[[#This Row],[b (mm)]]*Table11234[[#This Row],[h (mm)]]*Table11234[[#This Row],[L(mm)]])</f>
        <v>8.6287418797059831E-4</v>
      </c>
      <c r="P22" s="133">
        <f>Table11234[[#This Row],[M (KN.mm)]]/(Table11234[[#This Row],[b (mm)]]*Table11234[[#This Row],[d (mm)]]*Table11234[[#This Row],[L(mm)]])</f>
        <v>9.8614192910925508E-4</v>
      </c>
      <c r="Q22" s="133">
        <f>Table11234[[#This Row],[M (KN.mm)]]/(Table11234[[#This Row],[b (mm)]]*Table11234[[#This Row],[h (mm)]]*Table11234[[#This Row],[L(mm)]]*Table11234[[#This Row],[fc (Mpa)]])</f>
        <v>2.5543936884860815E-5</v>
      </c>
      <c r="R22" s="133">
        <f>Table11234[[#This Row],[M (KN.mm)]]/(Table11234[[#This Row],[b (mm)]]*Table11234[[#This Row],[h (mm)]]*Table11234[[#This Row],[L(mm)]]/2)</f>
        <v>1.7257483759411966E-3</v>
      </c>
      <c r="S22" s="133">
        <f>Table11234[[#This Row],[M (KN.mm)]]/(Table11234[[#This Row],[a (mm)]]*Table11234[[#This Row],[b (mm)]]*Table11234[[#This Row],[h (mm)]]*Table11234[[#This Row],[L(mm)]]/2)</f>
        <v>2.8309520602709923E-6</v>
      </c>
      <c r="T22" s="110">
        <f>G22/($AK$5*AH22*0.001*Table11234[[#This Row],[pho (%)]])</f>
        <v>1.5268528142882482E-5</v>
      </c>
      <c r="U22" s="133">
        <f>Table11234[[#This Row],[M (KN.mm)]]/(Table11234[[#This Row],[b (mm)]]*Table11234[[#This Row],[d (mm)]]*Table11234[[#This Row],[pho (%)]])</f>
        <v>3.5579552555930509</v>
      </c>
      <c r="V22" s="110">
        <f>E22*224.8/(2*SQRT(Table11234[[#This Row],[fc (Mpa)]]*145.037)*Table11234[[#This Row],[b (mm)]]*Table11234[[#This Row],[d (mm)]]*(1/25.4)^2)</f>
        <v>3.3256974017275356</v>
      </c>
      <c r="W22" s="110">
        <f>Table11234[[#This Row],[M (KN.mm)]]/$G$22</f>
        <v>1</v>
      </c>
      <c r="X22" s="110">
        <f t="shared" si="9"/>
        <v>3.3256974017275356</v>
      </c>
      <c r="Y22" s="110">
        <f t="shared" si="4"/>
        <v>609.59999999999991</v>
      </c>
      <c r="Z22" s="110">
        <f t="shared" si="5"/>
        <v>266.7</v>
      </c>
      <c r="AA22" s="110">
        <f t="shared" si="6"/>
        <v>304.79999999999995</v>
      </c>
      <c r="AB22" s="134">
        <f t="shared" si="7"/>
        <v>228.6</v>
      </c>
      <c r="AC22" s="7">
        <v>33.78</v>
      </c>
      <c r="AD22" s="110">
        <f>Table11234[[#This Row],[pho (%)]]/100*Table11234[[#This Row],[b (mm)]]*Table11234[[#This Row],[h (mm)]]</f>
        <v>383.22503999999998</v>
      </c>
      <c r="AE22" s="135">
        <v>0.55000000000000004</v>
      </c>
      <c r="AF22" s="110">
        <v>629</v>
      </c>
      <c r="AG22" s="132">
        <f>(1/3-0.21*(MIN(Table11234[[#This Row],[b (mm)]],AA22)/MAX(Table11234[[#This Row],[b (mm)]],AA22))*(MIN(Table11234[[#This Row],[b (mm)]],AA22)^4/(12*MAX(Table11234[[#This Row],[b (mm)]],AA22)^4)))*MAX(Table11234[[#This Row],[b (mm)]],AA22)*MIN(Table11234[[#This Row],[b (mm)]],AA22)^3</f>
        <v>1198609576.1573534</v>
      </c>
      <c r="AH22" s="132">
        <f>Table11234[[#This Row],[b (mm)]]*AA22^3/12</f>
        <v>539435927.57759976</v>
      </c>
      <c r="AI22" s="132">
        <f t="shared" si="8"/>
        <v>1984.375</v>
      </c>
      <c r="AJ22" s="106"/>
      <c r="AK22" s="106"/>
      <c r="AL22" s="106"/>
      <c r="AM22"/>
    </row>
    <row r="23" spans="1:39" s="129" customFormat="1" x14ac:dyDescent="0.25">
      <c r="A23" s="117" t="s">
        <v>72</v>
      </c>
      <c r="B23" s="110" t="s">
        <v>60</v>
      </c>
      <c r="C23" s="110">
        <v>38</v>
      </c>
      <c r="D23" s="110">
        <f>Table11234[[#This Row],[a (mm)]]/Table11234[[#This Row],[d (mm)]]</f>
        <v>2.2857142857142856</v>
      </c>
      <c r="E23" s="110">
        <v>81.398400000000009</v>
      </c>
      <c r="F23" s="127">
        <f>Table11234[[#This Row],[d (mm)]]</f>
        <v>266.7</v>
      </c>
      <c r="G23" s="110">
        <f t="shared" si="0"/>
        <v>49620.464639999998</v>
      </c>
      <c r="H23" s="110">
        <f t="shared" si="1"/>
        <v>3.4926758126843683E-6</v>
      </c>
      <c r="I23" s="132">
        <f>G23/(Table11234[[#This Row],[b (mm)]]*Z23^2)</f>
        <v>3.0516770330592815E-3</v>
      </c>
      <c r="J23" s="110">
        <f t="shared" si="2"/>
        <v>0.77185067319753486</v>
      </c>
      <c r="K23" s="110">
        <f t="shared" si="3"/>
        <v>2.1627607388177239E-6</v>
      </c>
      <c r="L23" s="132">
        <f>E23/(Table11234[[#This Row],[b (mm)]]*Z23)</f>
        <v>1.3351087019634359E-3</v>
      </c>
      <c r="M23" s="132">
        <f>Table11234[[#This Row],[M (KN.mm)]]/(Table11234[[#This Row],[b (mm)]]*Table11234[[#This Row],[d (mm)]])</f>
        <v>0.81388226471691039</v>
      </c>
      <c r="N23" s="132">
        <f>Table11234[[#This Row],[M (KN.mm)]]/(Table11234[[#This Row],[b (mm)]]*Table11234[[#This Row],[h (mm)]])</f>
        <v>0.71214698162729673</v>
      </c>
      <c r="O23" s="133">
        <f>Table11234[[#This Row],[M (KN.mm)]]/(Table11234[[#This Row],[b (mm)]]*Table11234[[#This Row],[h (mm)]]*Table11234[[#This Row],[L(mm)]])</f>
        <v>3.5887721908777159E-4</v>
      </c>
      <c r="P23" s="133">
        <f>Table11234[[#This Row],[M (KN.mm)]]/(Table11234[[#This Row],[b (mm)]]*Table11234[[#This Row],[d (mm)]]*Table11234[[#This Row],[L(mm)]])</f>
        <v>4.1014539324316746E-4</v>
      </c>
      <c r="Q23" s="133">
        <f>Table11234[[#This Row],[M (KN.mm)]]/(Table11234[[#This Row],[b (mm)]]*Table11234[[#This Row],[h (mm)]]*Table11234[[#This Row],[L(mm)]]*Table11234[[#This Row],[fc (Mpa)]])</f>
        <v>1.1076457379252209E-5</v>
      </c>
      <c r="R23" s="133">
        <f>Table11234[[#This Row],[M (KN.mm)]]/(Table11234[[#This Row],[b (mm)]]*Table11234[[#This Row],[h (mm)]]*Table11234[[#This Row],[L(mm)]]/2)</f>
        <v>7.1775443817554318E-4</v>
      </c>
      <c r="S23" s="133">
        <f>Table11234[[#This Row],[M (KN.mm)]]/(Table11234[[#This Row],[a (mm)]]*Table11234[[#This Row],[b (mm)]]*Table11234[[#This Row],[h (mm)]]*Table11234[[#This Row],[L(mm)]]/2)</f>
        <v>1.1774186977945263E-6</v>
      </c>
      <c r="T23" s="110">
        <f>G23/($AK$5*AH23*0.001*Table11234[[#This Row],[pho (%)]])</f>
        <v>6.3503196594261239E-6</v>
      </c>
      <c r="U23" s="133">
        <f>Table11234[[#This Row],[M (KN.mm)]]/(Table11234[[#This Row],[b (mm)]]*Table11234[[#This Row],[d (mm)]]*Table11234[[#This Row],[pho (%)]])</f>
        <v>1.479785935848928</v>
      </c>
      <c r="V23" s="110">
        <f>E23*224.8/(2*SQRT(Table11234[[#This Row],[fc (Mpa)]]*145.037)*Table11234[[#This Row],[b (mm)]]*Table11234[[#This Row],[d (mm)]]*(1/25.4)^2)</f>
        <v>1.4123374068452184</v>
      </c>
      <c r="W23" s="110">
        <f>Table11234[[#This Row],[M (KN.mm)]]/$G$29</f>
        <v>0.46923076923076928</v>
      </c>
      <c r="X23" s="110">
        <f t="shared" si="9"/>
        <v>1.4123374068452184</v>
      </c>
      <c r="Y23" s="110">
        <f t="shared" si="4"/>
        <v>609.59999999999991</v>
      </c>
      <c r="Z23" s="110">
        <f t="shared" si="5"/>
        <v>266.7</v>
      </c>
      <c r="AA23" s="110">
        <f t="shared" si="6"/>
        <v>304.79999999999995</v>
      </c>
      <c r="AB23" s="134">
        <f t="shared" si="7"/>
        <v>228.6</v>
      </c>
      <c r="AC23" s="7">
        <v>32.4</v>
      </c>
      <c r="AD23" s="110">
        <f>Table11234[[#This Row],[pho (%)]]/100*Table11234[[#This Row],[b (mm)]]*Table11234[[#This Row],[h (mm)]]</f>
        <v>383.22503999999998</v>
      </c>
      <c r="AE23" s="135">
        <v>0.55000000000000004</v>
      </c>
      <c r="AF23" s="110">
        <v>629</v>
      </c>
      <c r="AG23" s="132">
        <f>(1/3-0.21*(MIN(Table11234[[#This Row],[b (mm)]],AA23)/MAX(Table11234[[#This Row],[b (mm)]],AA23))*(MIN(Table11234[[#This Row],[b (mm)]],AA23)^4/(12*MAX(Table11234[[#This Row],[b (mm)]],AA23)^4)))*MAX(Table11234[[#This Row],[b (mm)]],AA23)*MIN(Table11234[[#This Row],[b (mm)]],AA23)^3</f>
        <v>1198609576.1573534</v>
      </c>
      <c r="AH23" s="132">
        <f>Table11234[[#This Row],[b (mm)]]*AA23^3/12</f>
        <v>539435927.57759976</v>
      </c>
      <c r="AI23" s="132">
        <f t="shared" si="8"/>
        <v>1984.375</v>
      </c>
      <c r="AJ23" s="106"/>
      <c r="AK23" s="106"/>
      <c r="AL23" s="106"/>
      <c r="AM23"/>
    </row>
    <row r="24" spans="1:39" s="129" customFormat="1" x14ac:dyDescent="0.25">
      <c r="A24" s="117" t="s">
        <v>72</v>
      </c>
      <c r="B24" s="110" t="s">
        <v>61</v>
      </c>
      <c r="C24" s="110">
        <v>39</v>
      </c>
      <c r="D24" s="110">
        <f>Table11234[[#This Row],[a (mm)]]/Table11234[[#This Row],[d (mm)]]</f>
        <v>2.2857142857142856</v>
      </c>
      <c r="E24" s="110">
        <v>94.742400000000018</v>
      </c>
      <c r="F24" s="127">
        <f>Table11234[[#This Row],[d (mm)]]</f>
        <v>266.7</v>
      </c>
      <c r="G24" s="110">
        <f t="shared" si="0"/>
        <v>57754.967040000003</v>
      </c>
      <c r="H24" s="110">
        <f t="shared" si="1"/>
        <v>4.0652456180424615E-6</v>
      </c>
      <c r="I24" s="132">
        <f>G24/(Table11234[[#This Row],[b (mm)]]*Z24^2)</f>
        <v>3.5519519565116232E-3</v>
      </c>
      <c r="J24" s="110">
        <f t="shared" si="2"/>
        <v>0.89838357044303241</v>
      </c>
      <c r="K24" s="110">
        <f t="shared" si="3"/>
        <v>2.5173116796075146E-6</v>
      </c>
      <c r="L24" s="132">
        <f>E24/(Table11234[[#This Row],[b (mm)]]*Z24)</f>
        <v>1.5539789809738353E-3</v>
      </c>
      <c r="M24" s="132">
        <f>Table11234[[#This Row],[M (KN.mm)]]/(Table11234[[#This Row],[b (mm)]]*Table11234[[#This Row],[d (mm)]])</f>
        <v>0.94730558680164989</v>
      </c>
      <c r="N24" s="132">
        <f>Table11234[[#This Row],[M (KN.mm)]]/(Table11234[[#This Row],[b (mm)]]*Table11234[[#This Row],[h (mm)]])</f>
        <v>0.82889238845144375</v>
      </c>
      <c r="O24" s="133">
        <f>Table11234[[#This Row],[M (KN.mm)]]/(Table11234[[#This Row],[b (mm)]]*Table11234[[#This Row],[h (mm)]]*Table11234[[#This Row],[L(mm)]])</f>
        <v>4.1770955008576697E-4</v>
      </c>
      <c r="P24" s="133">
        <f>Table11234[[#This Row],[M (KN.mm)]]/(Table11234[[#This Row],[b (mm)]]*Table11234[[#This Row],[d (mm)]]*Table11234[[#This Row],[L(mm)]])</f>
        <v>4.773823429551622E-4</v>
      </c>
      <c r="Q24" s="133">
        <f>Table11234[[#This Row],[M (KN.mm)]]/(Table11234[[#This Row],[b (mm)]]*Table11234[[#This Row],[h (mm)]]*Table11234[[#This Row],[L(mm)]]*Table11234[[#This Row],[fc (Mpa)]])</f>
        <v>1.2892270064375524E-5</v>
      </c>
      <c r="R24" s="133">
        <f>Table11234[[#This Row],[M (KN.mm)]]/(Table11234[[#This Row],[b (mm)]]*Table11234[[#This Row],[h (mm)]]*Table11234[[#This Row],[L(mm)]]/2)</f>
        <v>8.3541910017153394E-4</v>
      </c>
      <c r="S24" s="133">
        <f>Table11234[[#This Row],[M (KN.mm)]]/(Table11234[[#This Row],[a (mm)]]*Table11234[[#This Row],[b (mm)]]*Table11234[[#This Row],[h (mm)]]*Table11234[[#This Row],[L(mm)]]/2)</f>
        <v>1.3704381564493668E-6</v>
      </c>
      <c r="T24" s="110">
        <f>G24/($AK$5*AH24*0.001*Table11234[[#This Row],[pho (%)]])</f>
        <v>7.3913556691681116E-6</v>
      </c>
      <c r="U24" s="133">
        <f>Table11234[[#This Row],[M (KN.mm)]]/(Table11234[[#This Row],[b (mm)]]*Table11234[[#This Row],[d (mm)]]*Table11234[[#This Row],[pho (%)]])</f>
        <v>1.7223737941848181</v>
      </c>
      <c r="V24" s="110">
        <f>E24*224.8/(2*SQRT(Table11234[[#This Row],[fc (Mpa)]]*145.037)*Table11234[[#This Row],[b (mm)]]*Table11234[[#This Row],[d (mm)]]*(1/25.4)^2)</f>
        <v>1.6438681292788608</v>
      </c>
      <c r="W24" s="110">
        <f>Table11234[[#This Row],[M (KN.mm)]]/$G$29</f>
        <v>0.54615384615384632</v>
      </c>
      <c r="X24" s="110">
        <f t="shared" si="9"/>
        <v>1.6438681292788608</v>
      </c>
      <c r="Y24" s="110">
        <f t="shared" si="4"/>
        <v>609.59999999999991</v>
      </c>
      <c r="Z24" s="110">
        <f t="shared" si="5"/>
        <v>266.7</v>
      </c>
      <c r="AA24" s="110">
        <f t="shared" si="6"/>
        <v>304.79999999999995</v>
      </c>
      <c r="AB24" s="134">
        <f t="shared" si="7"/>
        <v>228.6</v>
      </c>
      <c r="AC24" s="7">
        <v>32.4</v>
      </c>
      <c r="AD24" s="110">
        <f>Table11234[[#This Row],[pho (%)]]/100*Table11234[[#This Row],[b (mm)]]*Table11234[[#This Row],[h (mm)]]</f>
        <v>383.22503999999998</v>
      </c>
      <c r="AE24" s="135">
        <v>0.55000000000000004</v>
      </c>
      <c r="AF24" s="110">
        <v>629</v>
      </c>
      <c r="AG24" s="132">
        <f>(1/3-0.21*(MIN(Table11234[[#This Row],[b (mm)]],AA24)/MAX(Table11234[[#This Row],[b (mm)]],AA24))*(MIN(Table11234[[#This Row],[b (mm)]],AA24)^4/(12*MAX(Table11234[[#This Row],[b (mm)]],AA24)^4)))*MAX(Table11234[[#This Row],[b (mm)]],AA24)*MIN(Table11234[[#This Row],[b (mm)]],AA24)^3</f>
        <v>1198609576.1573534</v>
      </c>
      <c r="AH24" s="132">
        <f>Table11234[[#This Row],[b (mm)]]*AA24^3/12</f>
        <v>539435927.57759976</v>
      </c>
      <c r="AI24" s="132">
        <f t="shared" si="8"/>
        <v>1984.375</v>
      </c>
      <c r="AJ24" s="106"/>
      <c r="AK24" s="106"/>
      <c r="AL24" s="106"/>
      <c r="AM24"/>
    </row>
    <row r="25" spans="1:39" s="129" customFormat="1" x14ac:dyDescent="0.25">
      <c r="A25" s="117" t="s">
        <v>72</v>
      </c>
      <c r="B25" s="110" t="s">
        <v>62</v>
      </c>
      <c r="C25" s="110">
        <v>40</v>
      </c>
      <c r="D25" s="110">
        <f>Table11234[[#This Row],[a (mm)]]/Table11234[[#This Row],[d (mm)]]</f>
        <v>2.2857142857142856</v>
      </c>
      <c r="E25" s="110">
        <v>108.5312</v>
      </c>
      <c r="F25" s="127">
        <f>Table11234[[#This Row],[d (mm)]]</f>
        <v>266.7</v>
      </c>
      <c r="G25" s="110">
        <f t="shared" si="0"/>
        <v>66160.619519999993</v>
      </c>
      <c r="H25" s="110">
        <f t="shared" si="1"/>
        <v>4.6569010835791571E-6</v>
      </c>
      <c r="I25" s="132">
        <f>G25/(Table11234[[#This Row],[b (mm)]]*Z25^2)</f>
        <v>4.0689027107457089E-3</v>
      </c>
      <c r="J25" s="110">
        <f t="shared" si="2"/>
        <v>1.0154124411843122</v>
      </c>
      <c r="K25" s="110">
        <f t="shared" si="3"/>
        <v>2.8836809850902979E-6</v>
      </c>
      <c r="L25" s="132">
        <f>E25/(Table11234[[#This Row],[b (mm)]]*Z25)</f>
        <v>1.7801449359512477E-3</v>
      </c>
      <c r="M25" s="132">
        <f>Table11234[[#This Row],[M (KN.mm)]]/(Table11234[[#This Row],[b (mm)]]*Table11234[[#This Row],[d (mm)]])</f>
        <v>1.0851763529558804</v>
      </c>
      <c r="N25" s="132">
        <f>Table11234[[#This Row],[M (KN.mm)]]/(Table11234[[#This Row],[b (mm)]]*Table11234[[#This Row],[h (mm)]])</f>
        <v>0.94952930883639552</v>
      </c>
      <c r="O25" s="133">
        <f>Table11234[[#This Row],[M (KN.mm)]]/(Table11234[[#This Row],[b (mm)]]*Table11234[[#This Row],[h (mm)]]*Table11234[[#This Row],[L(mm)]])</f>
        <v>4.785029587836954E-4</v>
      </c>
      <c r="P25" s="133">
        <f>Table11234[[#This Row],[M (KN.mm)]]/(Table11234[[#This Row],[b (mm)]]*Table11234[[#This Row],[d (mm)]]*Table11234[[#This Row],[L(mm)]])</f>
        <v>5.4686052432422329E-4</v>
      </c>
      <c r="Q25" s="133">
        <f>Table11234[[#This Row],[M (KN.mm)]]/(Table11234[[#This Row],[b (mm)]]*Table11234[[#This Row],[h (mm)]]*Table11234[[#This Row],[L(mm)]]*Table11234[[#This Row],[fc (Mpa)]])</f>
        <v>1.4768609839002944E-5</v>
      </c>
      <c r="R25" s="133">
        <f>Table11234[[#This Row],[M (KN.mm)]]/(Table11234[[#This Row],[b (mm)]]*Table11234[[#This Row],[h (mm)]]*Table11234[[#This Row],[L(mm)]]/2)</f>
        <v>9.570059175673908E-4</v>
      </c>
      <c r="S25" s="133">
        <f>Table11234[[#This Row],[M (KN.mm)]]/(Table11234[[#This Row],[a (mm)]]*Table11234[[#This Row],[b (mm)]]*Table11234[[#This Row],[h (mm)]]*Table11234[[#This Row],[L(mm)]]/2)</f>
        <v>1.5698915970593682E-6</v>
      </c>
      <c r="T25" s="110">
        <f>G25/($AK$5*AH25*0.001*Table11234[[#This Row],[pho (%)]])</f>
        <v>8.4670928792348313E-6</v>
      </c>
      <c r="U25" s="133">
        <f>Table11234[[#This Row],[M (KN.mm)]]/(Table11234[[#This Row],[b (mm)]]*Table11234[[#This Row],[d (mm)]]*Table11234[[#This Row],[pho (%)]])</f>
        <v>1.9730479144652371</v>
      </c>
      <c r="V25" s="110">
        <f>E25*224.8/(2*SQRT(Table11234[[#This Row],[fc (Mpa)]]*145.037)*Table11234[[#This Row],[b (mm)]]*Table11234[[#This Row],[d (mm)]]*(1/25.4)^2)</f>
        <v>1.8831165424602909</v>
      </c>
      <c r="W25" s="110">
        <f>Table11234[[#This Row],[M (KN.mm)]]/$G$29</f>
        <v>0.62564102564102564</v>
      </c>
      <c r="X25" s="110">
        <f t="shared" si="9"/>
        <v>1.8831165424602909</v>
      </c>
      <c r="Y25" s="110">
        <f t="shared" si="4"/>
        <v>609.59999999999991</v>
      </c>
      <c r="Z25" s="110">
        <f t="shared" si="5"/>
        <v>266.7</v>
      </c>
      <c r="AA25" s="110">
        <f t="shared" si="6"/>
        <v>304.79999999999995</v>
      </c>
      <c r="AB25" s="134">
        <f t="shared" si="7"/>
        <v>228.6</v>
      </c>
      <c r="AC25" s="7">
        <v>32.4</v>
      </c>
      <c r="AD25" s="110">
        <f>Table11234[[#This Row],[pho (%)]]/100*Table11234[[#This Row],[b (mm)]]*Table11234[[#This Row],[h (mm)]]</f>
        <v>383.22503999999998</v>
      </c>
      <c r="AE25" s="135">
        <v>0.55000000000000004</v>
      </c>
      <c r="AF25" s="110">
        <v>637.5</v>
      </c>
      <c r="AG25" s="132">
        <f>(1/3-0.21*(MIN(Table11234[[#This Row],[b (mm)]],AA25)/MAX(Table11234[[#This Row],[b (mm)]],AA25))*(MIN(Table11234[[#This Row],[b (mm)]],AA25)^4/(12*MAX(Table11234[[#This Row],[b (mm)]],AA25)^4)))*MAX(Table11234[[#This Row],[b (mm)]],AA25)*MIN(Table11234[[#This Row],[b (mm)]],AA25)^3</f>
        <v>1198609576.1573534</v>
      </c>
      <c r="AH25" s="132">
        <f>Table11234[[#This Row],[b (mm)]]*AA25^3/12</f>
        <v>539435927.57759976</v>
      </c>
      <c r="AI25" s="132">
        <f t="shared" si="8"/>
        <v>1984.375</v>
      </c>
      <c r="AJ25" s="106"/>
      <c r="AK25" s="106"/>
      <c r="AL25" s="106"/>
      <c r="AM25"/>
    </row>
    <row r="26" spans="1:39" s="129" customFormat="1" x14ac:dyDescent="0.25">
      <c r="A26" s="117" t="s">
        <v>72</v>
      </c>
      <c r="B26" s="110" t="s">
        <v>63</v>
      </c>
      <c r="C26" s="110">
        <v>41</v>
      </c>
      <c r="D26" s="110">
        <f>Table11234[[#This Row],[a (mm)]]/Table11234[[#This Row],[d (mm)]]</f>
        <v>2.2857142857142856</v>
      </c>
      <c r="E26" s="110">
        <v>121.87520000000001</v>
      </c>
      <c r="F26" s="127">
        <f>Table11234[[#This Row],[d (mm)]]</f>
        <v>266.7</v>
      </c>
      <c r="G26" s="110">
        <f t="shared" si="0"/>
        <v>74295.12191999999</v>
      </c>
      <c r="H26" s="110">
        <f t="shared" si="1"/>
        <v>5.2294708889372504E-6</v>
      </c>
      <c r="I26" s="132">
        <f>G26/(Table11234[[#This Row],[b (mm)]]*Z26^2)</f>
        <v>4.5691776341980498E-3</v>
      </c>
      <c r="J26" s="110">
        <f t="shared" si="2"/>
        <v>1.1402582331332032</v>
      </c>
      <c r="K26" s="110">
        <f t="shared" si="3"/>
        <v>3.2382319258800891E-6</v>
      </c>
      <c r="L26" s="132">
        <f>E26/(Table11234[[#This Row],[b (mm)]]*Z26)</f>
        <v>1.9990152149616473E-3</v>
      </c>
      <c r="M26" s="132">
        <f>Table11234[[#This Row],[M (KN.mm)]]/(Table11234[[#This Row],[b (mm)]]*Table11234[[#This Row],[d (mm)]])</f>
        <v>1.2185996750406198</v>
      </c>
      <c r="N26" s="132">
        <f>Table11234[[#This Row],[M (KN.mm)]]/(Table11234[[#This Row],[b (mm)]]*Table11234[[#This Row],[h (mm)]])</f>
        <v>1.0662747156605425</v>
      </c>
      <c r="O26" s="133">
        <f>Table11234[[#This Row],[M (KN.mm)]]/(Table11234[[#This Row],[b (mm)]]*Table11234[[#This Row],[h (mm)]]*Table11234[[#This Row],[L(mm)]])</f>
        <v>5.3733528978169073E-4</v>
      </c>
      <c r="P26" s="133">
        <f>Table11234[[#This Row],[M (KN.mm)]]/(Table11234[[#This Row],[b (mm)]]*Table11234[[#This Row],[d (mm)]]*Table11234[[#This Row],[L(mm)]])</f>
        <v>6.1409747403621791E-4</v>
      </c>
      <c r="Q26" s="133">
        <f>Table11234[[#This Row],[M (KN.mm)]]/(Table11234[[#This Row],[b (mm)]]*Table11234[[#This Row],[h (mm)]]*Table11234[[#This Row],[L(mm)]]*Table11234[[#This Row],[fc (Mpa)]])</f>
        <v>1.6584422524126258E-5</v>
      </c>
      <c r="R26" s="133">
        <f>Table11234[[#This Row],[M (KN.mm)]]/(Table11234[[#This Row],[b (mm)]]*Table11234[[#This Row],[h (mm)]]*Table11234[[#This Row],[L(mm)]]/2)</f>
        <v>1.0746705795633815E-3</v>
      </c>
      <c r="S26" s="133">
        <f>Table11234[[#This Row],[M (KN.mm)]]/(Table11234[[#This Row],[a (mm)]]*Table11234[[#This Row],[b (mm)]]*Table11234[[#This Row],[h (mm)]]*Table11234[[#This Row],[L(mm)]]/2)</f>
        <v>1.7629110557142087E-6</v>
      </c>
      <c r="T26" s="110">
        <f>G26/($AK$5*AH26*0.001*Table11234[[#This Row],[pho (%)]])</f>
        <v>9.5081288889768173E-6</v>
      </c>
      <c r="U26" s="133">
        <f>Table11234[[#This Row],[M (KN.mm)]]/(Table11234[[#This Row],[b (mm)]]*Table11234[[#This Row],[d (mm)]]*Table11234[[#This Row],[pho (%)]])</f>
        <v>2.2156357728011269</v>
      </c>
      <c r="V26" s="110">
        <f>E26*224.8/(2*SQRT(Table11234[[#This Row],[fc (Mpa)]]*145.037)*Table11234[[#This Row],[b (mm)]]*Table11234[[#This Row],[d (mm)]]*(1/25.4)^2)</f>
        <v>2.1146472648939332</v>
      </c>
      <c r="W26" s="110">
        <f>Table11234[[#This Row],[M (KN.mm)]]/$G$29</f>
        <v>0.70256410256410262</v>
      </c>
      <c r="X26" s="110">
        <f t="shared" si="9"/>
        <v>2.1146472648939332</v>
      </c>
      <c r="Y26" s="110">
        <f t="shared" si="4"/>
        <v>609.59999999999991</v>
      </c>
      <c r="Z26" s="110">
        <f t="shared" si="5"/>
        <v>266.7</v>
      </c>
      <c r="AA26" s="110">
        <f t="shared" si="6"/>
        <v>304.79999999999995</v>
      </c>
      <c r="AB26" s="134">
        <f t="shared" si="7"/>
        <v>228.6</v>
      </c>
      <c r="AC26" s="7">
        <v>32.4</v>
      </c>
      <c r="AD26" s="110">
        <f>Table11234[[#This Row],[pho (%)]]/100*Table11234[[#This Row],[b (mm)]]*Table11234[[#This Row],[h (mm)]]</f>
        <v>383.22503999999998</v>
      </c>
      <c r="AE26" s="135">
        <v>0.55000000000000004</v>
      </c>
      <c r="AF26" s="110">
        <v>637.5</v>
      </c>
      <c r="AG26" s="132">
        <f>(1/3-0.21*(MIN(Table11234[[#This Row],[b (mm)]],AA26)/MAX(Table11234[[#This Row],[b (mm)]],AA26))*(MIN(Table11234[[#This Row],[b (mm)]],AA26)^4/(12*MAX(Table11234[[#This Row],[b (mm)]],AA26)^4)))*MAX(Table11234[[#This Row],[b (mm)]],AA26)*MIN(Table11234[[#This Row],[b (mm)]],AA26)^3</f>
        <v>1198609576.1573534</v>
      </c>
      <c r="AH26" s="132">
        <f>Table11234[[#This Row],[b (mm)]]*AA26^3/12</f>
        <v>539435927.57759976</v>
      </c>
      <c r="AI26" s="132">
        <f t="shared" si="8"/>
        <v>1984.375</v>
      </c>
      <c r="AJ26" s="106"/>
      <c r="AK26" s="106"/>
      <c r="AL26" s="106"/>
      <c r="AM26"/>
    </row>
    <row r="27" spans="1:39" s="129" customFormat="1" x14ac:dyDescent="0.25">
      <c r="A27" s="117" t="s">
        <v>72</v>
      </c>
      <c r="B27" s="110" t="s">
        <v>64</v>
      </c>
      <c r="C27" s="110">
        <v>42</v>
      </c>
      <c r="D27" s="110">
        <f>Table11234[[#This Row],[a (mm)]]/Table11234[[#This Row],[d (mm)]]</f>
        <v>2.2857142857142856</v>
      </c>
      <c r="E27" s="110">
        <v>135.66400000000002</v>
      </c>
      <c r="F27" s="127">
        <f>Table11234[[#This Row],[d (mm)]]</f>
        <v>266.7</v>
      </c>
      <c r="G27" s="110">
        <f t="shared" si="0"/>
        <v>82700.774399999995</v>
      </c>
      <c r="H27" s="110">
        <f t="shared" si="1"/>
        <v>5.8211263544739468E-6</v>
      </c>
      <c r="I27" s="132">
        <f>G27/(Table11234[[#This Row],[b (mm)]]*Z27^2)</f>
        <v>5.0861283884321359E-3</v>
      </c>
      <c r="J27" s="110">
        <f t="shared" si="2"/>
        <v>1.2692655514803903</v>
      </c>
      <c r="K27" s="110">
        <f t="shared" si="3"/>
        <v>3.6046012313628728E-6</v>
      </c>
      <c r="L27" s="132">
        <f>E27/(Table11234[[#This Row],[b (mm)]]*Z27)</f>
        <v>2.2251811699390599E-3</v>
      </c>
      <c r="M27" s="132">
        <f>Table11234[[#This Row],[M (KN.mm)]]/(Table11234[[#This Row],[b (mm)]]*Table11234[[#This Row],[d (mm)]])</f>
        <v>1.3564704411948507</v>
      </c>
      <c r="N27" s="132">
        <f>Table11234[[#This Row],[M (KN.mm)]]/(Table11234[[#This Row],[b (mm)]]*Table11234[[#This Row],[h (mm)]])</f>
        <v>1.1869116360454945</v>
      </c>
      <c r="O27" s="133">
        <f>Table11234[[#This Row],[M (KN.mm)]]/(Table11234[[#This Row],[b (mm)]]*Table11234[[#This Row],[h (mm)]]*Table11234[[#This Row],[L(mm)]])</f>
        <v>5.9812869847961927E-4</v>
      </c>
      <c r="P27" s="133">
        <f>Table11234[[#This Row],[M (KN.mm)]]/(Table11234[[#This Row],[b (mm)]]*Table11234[[#This Row],[d (mm)]]*Table11234[[#This Row],[L(mm)]])</f>
        <v>6.8357565540527905E-4</v>
      </c>
      <c r="Q27" s="133">
        <f>Table11234[[#This Row],[M (KN.mm)]]/(Table11234[[#This Row],[b (mm)]]*Table11234[[#This Row],[h (mm)]]*Table11234[[#This Row],[L(mm)]]*Table11234[[#This Row],[fc (Mpa)]])</f>
        <v>1.8460762298753681E-5</v>
      </c>
      <c r="R27" s="133">
        <f>Table11234[[#This Row],[M (KN.mm)]]/(Table11234[[#This Row],[b (mm)]]*Table11234[[#This Row],[h (mm)]]*Table11234[[#This Row],[L(mm)]]/2)</f>
        <v>1.1962573969592385E-3</v>
      </c>
      <c r="S27" s="133">
        <f>Table11234[[#This Row],[M (KN.mm)]]/(Table11234[[#This Row],[a (mm)]]*Table11234[[#This Row],[b (mm)]]*Table11234[[#This Row],[h (mm)]]*Table11234[[#This Row],[L(mm)]]/2)</f>
        <v>1.9623644963242103E-6</v>
      </c>
      <c r="T27" s="110">
        <f>G27/($AK$5*AH27*0.001*Table11234[[#This Row],[pho (%)]])</f>
        <v>1.058386609904354E-5</v>
      </c>
      <c r="U27" s="133">
        <f>Table11234[[#This Row],[M (KN.mm)]]/(Table11234[[#This Row],[b (mm)]]*Table11234[[#This Row],[d (mm)]]*Table11234[[#This Row],[pho (%)]])</f>
        <v>2.4663098930815464</v>
      </c>
      <c r="V27" s="110">
        <f>E27*224.8/(2*SQRT(Table11234[[#This Row],[fc (Mpa)]]*145.037)*Table11234[[#This Row],[b (mm)]]*Table11234[[#This Row],[d (mm)]]*(1/25.4)^2)</f>
        <v>2.3538956780753639</v>
      </c>
      <c r="W27" s="110">
        <f>Table11234[[#This Row],[M (KN.mm)]]/$G$29</f>
        <v>0.78205128205128216</v>
      </c>
      <c r="X27" s="110">
        <f t="shared" si="9"/>
        <v>2.3538956780753639</v>
      </c>
      <c r="Y27" s="110">
        <f t="shared" si="4"/>
        <v>609.59999999999991</v>
      </c>
      <c r="Z27" s="110">
        <f t="shared" si="5"/>
        <v>266.7</v>
      </c>
      <c r="AA27" s="110">
        <f t="shared" si="6"/>
        <v>304.79999999999995</v>
      </c>
      <c r="AB27" s="134">
        <f t="shared" si="7"/>
        <v>228.6</v>
      </c>
      <c r="AC27" s="7">
        <v>32.4</v>
      </c>
      <c r="AD27" s="110">
        <f>Table11234[[#This Row],[pho (%)]]/100*Table11234[[#This Row],[b (mm)]]*Table11234[[#This Row],[h (mm)]]</f>
        <v>383.22503999999998</v>
      </c>
      <c r="AE27" s="135">
        <v>0.55000000000000004</v>
      </c>
      <c r="AF27" s="110">
        <v>637.5</v>
      </c>
      <c r="AG27" s="132">
        <f>(1/3-0.21*(MIN(Table11234[[#This Row],[b (mm)]],AA27)/MAX(Table11234[[#This Row],[b (mm)]],AA27))*(MIN(Table11234[[#This Row],[b (mm)]],AA27)^4/(12*MAX(Table11234[[#This Row],[b (mm)]],AA27)^4)))*MAX(Table11234[[#This Row],[b (mm)]],AA27)*MIN(Table11234[[#This Row],[b (mm)]],AA27)^3</f>
        <v>1198609576.1573534</v>
      </c>
      <c r="AH27" s="132">
        <f>Table11234[[#This Row],[b (mm)]]*AA27^3/12</f>
        <v>539435927.57759976</v>
      </c>
      <c r="AI27" s="132">
        <f t="shared" si="8"/>
        <v>1984.375</v>
      </c>
      <c r="AJ27" s="106"/>
      <c r="AK27" s="106"/>
      <c r="AL27" s="106"/>
      <c r="AM27"/>
    </row>
    <row r="28" spans="1:39" s="129" customFormat="1" x14ac:dyDescent="0.25">
      <c r="A28" s="117" t="s">
        <v>72</v>
      </c>
      <c r="B28" s="110" t="s">
        <v>65</v>
      </c>
      <c r="C28" s="110">
        <v>43</v>
      </c>
      <c r="D28" s="110">
        <f>Table11234[[#This Row],[a (mm)]]/Table11234[[#This Row],[d (mm)]]</f>
        <v>2.2857142857142856</v>
      </c>
      <c r="E28" s="110">
        <v>157.90400000000002</v>
      </c>
      <c r="F28" s="127">
        <f>Table11234[[#This Row],[d (mm)]]</f>
        <v>266.7</v>
      </c>
      <c r="G28" s="110">
        <f t="shared" si="0"/>
        <v>96258.278399999996</v>
      </c>
      <c r="H28" s="110">
        <f t="shared" si="1"/>
        <v>6.7754093634041022E-6</v>
      </c>
      <c r="I28" s="132">
        <f>G28/(Table11234[[#This Row],[b (mm)]]*Z28^2)</f>
        <v>5.9199199275193713E-3</v>
      </c>
      <c r="J28" s="110">
        <f t="shared" si="2"/>
        <v>1.4773418713952085</v>
      </c>
      <c r="K28" s="110">
        <f t="shared" si="3"/>
        <v>4.1955194660125242E-6</v>
      </c>
      <c r="L28" s="132">
        <f>E28/(Table11234[[#This Row],[b (mm)]]*Z28)</f>
        <v>2.5899649682897255E-3</v>
      </c>
      <c r="M28" s="132">
        <f>Table11234[[#This Row],[M (KN.mm)]]/(Table11234[[#This Row],[b (mm)]]*Table11234[[#This Row],[d (mm)]])</f>
        <v>1.5788426446694164</v>
      </c>
      <c r="N28" s="132">
        <f>Table11234[[#This Row],[M (KN.mm)]]/(Table11234[[#This Row],[b (mm)]]*Table11234[[#This Row],[h (mm)]])</f>
        <v>1.3814873140857395</v>
      </c>
      <c r="O28" s="133">
        <f>Table11234[[#This Row],[M (KN.mm)]]/(Table11234[[#This Row],[b (mm)]]*Table11234[[#This Row],[h (mm)]]*Table11234[[#This Row],[L(mm)]])</f>
        <v>6.9618258347627819E-4</v>
      </c>
      <c r="P28" s="133">
        <f>Table11234[[#This Row],[M (KN.mm)]]/(Table11234[[#This Row],[b (mm)]]*Table11234[[#This Row],[d (mm)]]*Table11234[[#This Row],[L(mm)]])</f>
        <v>7.9563723825860357E-4</v>
      </c>
      <c r="Q28" s="133">
        <f>Table11234[[#This Row],[M (KN.mm)]]/(Table11234[[#This Row],[b (mm)]]*Table11234[[#This Row],[h (mm)]]*Table11234[[#This Row],[L(mm)]]*Table11234[[#This Row],[fc (Mpa)]])</f>
        <v>2.1487116773959202E-5</v>
      </c>
      <c r="R28" s="133">
        <f>Table11234[[#This Row],[M (KN.mm)]]/(Table11234[[#This Row],[b (mm)]]*Table11234[[#This Row],[h (mm)]]*Table11234[[#This Row],[L(mm)]]/2)</f>
        <v>1.3923651669525564E-3</v>
      </c>
      <c r="S28" s="133">
        <f>Table11234[[#This Row],[M (KN.mm)]]/(Table11234[[#This Row],[a (mm)]]*Table11234[[#This Row],[b (mm)]]*Table11234[[#This Row],[h (mm)]]*Table11234[[#This Row],[L(mm)]]/2)</f>
        <v>2.284063594082278E-6</v>
      </c>
      <c r="T28" s="110">
        <f>G28/($AK$5*AH28*0.001*Table11234[[#This Row],[pho (%)]])</f>
        <v>1.2318926115280186E-5</v>
      </c>
      <c r="U28" s="133">
        <f>Table11234[[#This Row],[M (KN.mm)]]/(Table11234[[#This Row],[b (mm)]]*Table11234[[#This Row],[d (mm)]]*Table11234[[#This Row],[pho (%)]])</f>
        <v>2.8706229903080298</v>
      </c>
      <c r="V28" s="110">
        <f>E28*224.8/(2*SQRT(Table11234[[#This Row],[fc (Mpa)]]*145.037)*Table11234[[#This Row],[b (mm)]]*Table11234[[#This Row],[d (mm)]]*(1/25.4)^2)</f>
        <v>2.7397802154647679</v>
      </c>
      <c r="W28" s="110">
        <f>Table11234[[#This Row],[M (KN.mm)]]/$G$29</f>
        <v>0.91025641025641035</v>
      </c>
      <c r="X28" s="110">
        <f t="shared" si="9"/>
        <v>2.7397802154647679</v>
      </c>
      <c r="Y28" s="110">
        <f t="shared" si="4"/>
        <v>609.59999999999991</v>
      </c>
      <c r="Z28" s="110">
        <f t="shared" si="5"/>
        <v>266.7</v>
      </c>
      <c r="AA28" s="110">
        <f t="shared" si="6"/>
        <v>304.79999999999995</v>
      </c>
      <c r="AB28" s="134">
        <f t="shared" si="7"/>
        <v>228.6</v>
      </c>
      <c r="AC28" s="7">
        <v>32.4</v>
      </c>
      <c r="AD28" s="110">
        <f>Table11234[[#This Row],[pho (%)]]/100*Table11234[[#This Row],[b (mm)]]*Table11234[[#This Row],[h (mm)]]</f>
        <v>383.22503999999998</v>
      </c>
      <c r="AE28" s="135">
        <v>0.55000000000000004</v>
      </c>
      <c r="AF28" s="110">
        <v>637.5</v>
      </c>
      <c r="AG28" s="132">
        <f>(1/3-0.21*(MIN(Table11234[[#This Row],[b (mm)]],AA28)/MAX(Table11234[[#This Row],[b (mm)]],AA28))*(MIN(Table11234[[#This Row],[b (mm)]],AA28)^4/(12*MAX(Table11234[[#This Row],[b (mm)]],AA28)^4)))*MAX(Table11234[[#This Row],[b (mm)]],AA28)*MIN(Table11234[[#This Row],[b (mm)]],AA28)^3</f>
        <v>1198609576.1573534</v>
      </c>
      <c r="AH28" s="132">
        <f>Table11234[[#This Row],[b (mm)]]*AA28^3/12</f>
        <v>539435927.57759976</v>
      </c>
      <c r="AI28" s="132">
        <f t="shared" si="8"/>
        <v>1984.375</v>
      </c>
      <c r="AJ28" s="106"/>
      <c r="AK28" s="106"/>
      <c r="AL28" s="106"/>
      <c r="AM28"/>
    </row>
    <row r="29" spans="1:39" s="129" customFormat="1" x14ac:dyDescent="0.25">
      <c r="A29" s="118" t="s">
        <v>72</v>
      </c>
      <c r="B29" s="110" t="s">
        <v>66</v>
      </c>
      <c r="C29" s="110">
        <v>44</v>
      </c>
      <c r="D29" s="110">
        <f>Table11234[[#This Row],[a (mm)]]/Table11234[[#This Row],[d (mm)]]</f>
        <v>2.2857142857142856</v>
      </c>
      <c r="E29" s="110">
        <v>173.47200000000001</v>
      </c>
      <c r="F29" s="127">
        <f>Table11234[[#This Row],[d (mm)]]</f>
        <v>266.7</v>
      </c>
      <c r="G29" s="110">
        <f t="shared" si="0"/>
        <v>105748.53119999998</v>
      </c>
      <c r="H29" s="110">
        <f t="shared" si="1"/>
        <v>7.4434074696552101E-6</v>
      </c>
      <c r="I29" s="132">
        <f>G29/(Table11234[[#This Row],[b (mm)]]*Z29^2)</f>
        <v>6.5035740048804353E-3</v>
      </c>
      <c r="J29" s="110">
        <f t="shared" si="2"/>
        <v>1.6229952953355811</v>
      </c>
      <c r="K29" s="110">
        <f t="shared" si="3"/>
        <v>4.6091622302672798E-6</v>
      </c>
      <c r="L29" s="132">
        <f>E29/(Table11234[[#This Row],[b (mm)]]*Z29)</f>
        <v>2.8453136271351909E-3</v>
      </c>
      <c r="M29" s="132">
        <f>Table11234[[#This Row],[M (KN.mm)]]/(Table11234[[#This Row],[b (mm)]]*Table11234[[#This Row],[d (mm)]])</f>
        <v>1.7345031871016121</v>
      </c>
      <c r="N29" s="132">
        <f>Table11234[[#This Row],[M (KN.mm)]]/(Table11234[[#This Row],[b (mm)]]*Table11234[[#This Row],[h (mm)]])</f>
        <v>1.5176902887139108</v>
      </c>
      <c r="O29" s="133">
        <f>Table11234[[#This Row],[M (KN.mm)]]/(Table11234[[#This Row],[b (mm)]]*Table11234[[#This Row],[h (mm)]]*Table11234[[#This Row],[L(mm)]])</f>
        <v>7.6482030297393927E-4</v>
      </c>
      <c r="P29" s="133">
        <f>Table11234[[#This Row],[M (KN.mm)]]/(Table11234[[#This Row],[b (mm)]]*Table11234[[#This Row],[d (mm)]]*Table11234[[#This Row],[L(mm)]])</f>
        <v>8.7408034625593056E-4</v>
      </c>
      <c r="Q29" s="133">
        <f>Table11234[[#This Row],[M (KN.mm)]]/(Table11234[[#This Row],[b (mm)]]*Table11234[[#This Row],[h (mm)]]*Table11234[[#This Row],[L(mm)]]*Table11234[[#This Row],[fc (Mpa)]])</f>
        <v>2.3605564906603065E-5</v>
      </c>
      <c r="R29" s="133">
        <f>Table11234[[#This Row],[M (KN.mm)]]/(Table11234[[#This Row],[b (mm)]]*Table11234[[#This Row],[h (mm)]]*Table11234[[#This Row],[L(mm)]]/2)</f>
        <v>1.5296406059478785E-3</v>
      </c>
      <c r="S29" s="133">
        <f>Table11234[[#This Row],[M (KN.mm)]]/(Table11234[[#This Row],[a (mm)]]*Table11234[[#This Row],[b (mm)]]*Table11234[[#This Row],[h (mm)]]*Table11234[[#This Row],[L(mm)]]/2)</f>
        <v>2.5092529625129247E-6</v>
      </c>
      <c r="T29" s="110">
        <f>G29/($AK$5*AH29*0.001*Table11234[[#This Row],[pho (%)]])</f>
        <v>1.3533468126645835E-5</v>
      </c>
      <c r="U29" s="133">
        <f>Table11234[[#This Row],[M (KN.mm)]]/(Table11234[[#This Row],[b (mm)]]*Table11234[[#This Row],[d (mm)]]*Table11234[[#This Row],[pho (%)]])</f>
        <v>3.1536421583665675</v>
      </c>
      <c r="V29" s="110">
        <f>E29*224.8/(2*SQRT(Table11234[[#This Row],[fc (Mpa)]]*145.037)*Table11234[[#This Row],[b (mm)]]*Table11234[[#This Row],[d (mm)]]*(1/25.4)^2)</f>
        <v>3.0098993916373504</v>
      </c>
      <c r="W29" s="110">
        <f>Table11234[[#This Row],[M (KN.mm)]]/$G$29</f>
        <v>1</v>
      </c>
      <c r="X29" s="110">
        <f t="shared" si="9"/>
        <v>3.0098993916373504</v>
      </c>
      <c r="Y29" s="110">
        <f t="shared" si="4"/>
        <v>609.59999999999991</v>
      </c>
      <c r="Z29" s="110">
        <f t="shared" si="5"/>
        <v>266.7</v>
      </c>
      <c r="AA29" s="110">
        <f t="shared" si="6"/>
        <v>304.79999999999995</v>
      </c>
      <c r="AB29" s="134">
        <f t="shared" si="7"/>
        <v>228.6</v>
      </c>
      <c r="AC29" s="7">
        <v>32.4</v>
      </c>
      <c r="AD29" s="110">
        <f>Table11234[[#This Row],[pho (%)]]/100*Table11234[[#This Row],[b (mm)]]*Table11234[[#This Row],[h (mm)]]</f>
        <v>383.22503999999998</v>
      </c>
      <c r="AE29" s="135">
        <v>0.55000000000000004</v>
      </c>
      <c r="AF29" s="110">
        <v>637.5</v>
      </c>
      <c r="AG29" s="132">
        <f>(1/3-0.21*(MIN(Table11234[[#This Row],[b (mm)]],AA29)/MAX(Table11234[[#This Row],[b (mm)]],AA29))*(MIN(Table11234[[#This Row],[b (mm)]],AA29)^4/(12*MAX(Table11234[[#This Row],[b (mm)]],AA29)^4)))*MAX(Table11234[[#This Row],[b (mm)]],AA29)*MIN(Table11234[[#This Row],[b (mm)]],AA29)^3</f>
        <v>1198609576.1573534</v>
      </c>
      <c r="AH29" s="132">
        <f>Table11234[[#This Row],[b (mm)]]*AA29^3/12</f>
        <v>539435927.57759976</v>
      </c>
      <c r="AI29" s="132">
        <f t="shared" si="8"/>
        <v>1984.375</v>
      </c>
      <c r="AJ29" s="106"/>
      <c r="AK29" s="106"/>
      <c r="AL29" s="106"/>
      <c r="AM29"/>
    </row>
    <row r="30" spans="1:39" s="129" customFormat="1" x14ac:dyDescent="0.25">
      <c r="A30" s="119" t="s">
        <v>73</v>
      </c>
      <c r="B30" s="110" t="s">
        <v>60</v>
      </c>
      <c r="C30" s="110">
        <v>45</v>
      </c>
      <c r="D30" s="110">
        <f>Table11234[[#This Row],[a (mm)]]/Table11234[[#This Row],[d (mm)]]</f>
        <v>2.2857142857142856</v>
      </c>
      <c r="E30" s="110">
        <v>68.054400000000015</v>
      </c>
      <c r="F30" s="127">
        <f>Table11234[[#This Row],[d (mm)]]</f>
        <v>266.7</v>
      </c>
      <c r="G30" s="110">
        <f t="shared" si="0"/>
        <v>41485.962240000001</v>
      </c>
      <c r="H30" s="110">
        <f t="shared" si="1"/>
        <v>2.9201060073262751E-6</v>
      </c>
      <c r="I30" s="132">
        <f>G30/(Table11234[[#This Row],[b (mm)]]*Z30^2)</f>
        <v>2.5514021096069406E-3</v>
      </c>
      <c r="J30" s="110">
        <f t="shared" si="2"/>
        <v>0.63373127411995545</v>
      </c>
      <c r="K30" s="110">
        <f t="shared" si="3"/>
        <v>1.8082097980279333E-6</v>
      </c>
      <c r="L30" s="132">
        <f>E30/(Table11234[[#This Row],[b (mm)]]*Z30)</f>
        <v>1.1162384229530368E-3</v>
      </c>
      <c r="M30" s="132">
        <f>Table11234[[#This Row],[M (KN.mm)]]/(Table11234[[#This Row],[b (mm)]]*Table11234[[#This Row],[d (mm)]])</f>
        <v>0.68045894263217099</v>
      </c>
      <c r="N30" s="132">
        <f>Table11234[[#This Row],[M (KN.mm)]]/(Table11234[[#This Row],[b (mm)]]*Table11234[[#This Row],[h (mm)]])</f>
        <v>0.5954015748031497</v>
      </c>
      <c r="O30" s="133">
        <f>Table11234[[#This Row],[M (KN.mm)]]/(Table11234[[#This Row],[b (mm)]]*Table11234[[#This Row],[h (mm)]]*Table11234[[#This Row],[L(mm)]])</f>
        <v>3.0004488808977627E-4</v>
      </c>
      <c r="P30" s="133">
        <f>Table11234[[#This Row],[M (KN.mm)]]/(Table11234[[#This Row],[b (mm)]]*Table11234[[#This Row],[d (mm)]]*Table11234[[#This Row],[L(mm)]])</f>
        <v>3.4290844353117284E-4</v>
      </c>
      <c r="Q30" s="133">
        <f>Table11234[[#This Row],[M (KN.mm)]]/(Table11234[[#This Row],[b (mm)]]*Table11234[[#This Row],[h (mm)]]*Table11234[[#This Row],[L(mm)]]*Table11234[[#This Row],[fc (Mpa)]])</f>
        <v>1.6131445596224529E-5</v>
      </c>
      <c r="R30" s="133">
        <f>Table11234[[#This Row],[M (KN.mm)]]/(Table11234[[#This Row],[b (mm)]]*Table11234[[#This Row],[h (mm)]]*Table11234[[#This Row],[L(mm)]]/2)</f>
        <v>6.0008977617955254E-4</v>
      </c>
      <c r="S30" s="133">
        <f>Table11234[[#This Row],[M (KN.mm)]]/(Table11234[[#This Row],[a (mm)]]*Table11234[[#This Row],[b (mm)]]*Table11234[[#This Row],[h (mm)]]*Table11234[[#This Row],[L(mm)]]/2)</f>
        <v>9.8439923913968605E-7</v>
      </c>
      <c r="T30" s="110">
        <f>G30/($AK$5*AH30*0.001*Table11234[[#This Row],[pho (%)]])</f>
        <v>5.3092836496841362E-6</v>
      </c>
      <c r="U30" s="133">
        <f>Table11234[[#This Row],[M (KN.mm)]]/(Table11234[[#This Row],[b (mm)]]*Table11234[[#This Row],[d (mm)]]*Table11234[[#This Row],[pho (%)]])</f>
        <v>1.2371980775130382</v>
      </c>
      <c r="V30" s="110">
        <f>E30*224.8/(2*SQRT(Table11234[[#This Row],[fc (Mpa)]]*145.037)*Table11234[[#This Row],[b (mm)]]*Table11234[[#This Row],[d (mm)]]*(1/25.4)^2)</f>
        <v>1.5584570430019853</v>
      </c>
      <c r="W30" s="110">
        <f>Table11234[[#This Row],[M (KN.mm)]]/$G$33</f>
        <v>0.69545454545454544</v>
      </c>
      <c r="X30" s="110">
        <f t="shared" si="9"/>
        <v>1.5584570430019853</v>
      </c>
      <c r="Y30" s="110">
        <f t="shared" si="4"/>
        <v>609.59999999999991</v>
      </c>
      <c r="Z30" s="110">
        <f t="shared" si="5"/>
        <v>266.7</v>
      </c>
      <c r="AA30" s="110">
        <f t="shared" si="6"/>
        <v>304.79999999999995</v>
      </c>
      <c r="AB30" s="134">
        <f t="shared" si="7"/>
        <v>228.6</v>
      </c>
      <c r="AC30" s="7">
        <v>18.600000000000001</v>
      </c>
      <c r="AD30" s="110">
        <f>Table11234[[#This Row],[pho (%)]]/100*Table11234[[#This Row],[b (mm)]]*Table11234[[#This Row],[h (mm)]]</f>
        <v>383.22503999999998</v>
      </c>
      <c r="AE30" s="135">
        <v>0.55000000000000004</v>
      </c>
      <c r="AF30" s="110">
        <v>640.5</v>
      </c>
      <c r="AG30" s="132">
        <f>(1/3-0.21*(MIN(Table11234[[#This Row],[b (mm)]],AA30)/MAX(Table11234[[#This Row],[b (mm)]],AA30))*(MIN(Table11234[[#This Row],[b (mm)]],AA30)^4/(12*MAX(Table11234[[#This Row],[b (mm)]],AA30)^4)))*MAX(Table11234[[#This Row],[b (mm)]],AA30)*MIN(Table11234[[#This Row],[b (mm)]],AA30)^3</f>
        <v>1198609576.1573534</v>
      </c>
      <c r="AH30" s="132">
        <f>Table11234[[#This Row],[b (mm)]]*AA30^3/12</f>
        <v>539435927.57759976</v>
      </c>
      <c r="AI30" s="132">
        <f t="shared" si="8"/>
        <v>1984.375</v>
      </c>
      <c r="AJ30" s="106"/>
      <c r="AK30" s="106"/>
      <c r="AL30" s="106"/>
      <c r="AM30"/>
    </row>
    <row r="31" spans="1:39" x14ac:dyDescent="0.25">
      <c r="A31" s="119" t="s">
        <v>73</v>
      </c>
      <c r="B31" s="110" t="s">
        <v>61</v>
      </c>
      <c r="C31" s="110">
        <v>46</v>
      </c>
      <c r="D31" s="110">
        <f>Table11234[[#This Row],[a (mm)]]/Table11234[[#This Row],[d (mm)]]</f>
        <v>2.2857142857142856</v>
      </c>
      <c r="E31" s="110">
        <v>81.398400000000009</v>
      </c>
      <c r="F31" s="127">
        <f>Table11234[[#This Row],[d (mm)]]</f>
        <v>266.7</v>
      </c>
      <c r="G31" s="110">
        <f t="shared" si="0"/>
        <v>49620.464639999998</v>
      </c>
      <c r="H31" s="110">
        <f t="shared" si="1"/>
        <v>3.4926758126843683E-6</v>
      </c>
      <c r="I31" s="132">
        <f>G31/(Table11234[[#This Row],[b (mm)]]*Z31^2)</f>
        <v>3.0516770330592815E-3</v>
      </c>
      <c r="J31" s="110">
        <f t="shared" si="2"/>
        <v>0.75799230826112307</v>
      </c>
      <c r="K31" s="110">
        <f t="shared" si="3"/>
        <v>2.1627607388177239E-6</v>
      </c>
      <c r="L31" s="132">
        <f>E31/(Table11234[[#This Row],[b (mm)]]*Z31)</f>
        <v>1.3351087019634359E-3</v>
      </c>
      <c r="M31" s="132">
        <f>Table11234[[#This Row],[M (KN.mm)]]/(Table11234[[#This Row],[b (mm)]]*Table11234[[#This Row],[d (mm)]])</f>
        <v>0.81388226471691039</v>
      </c>
      <c r="N31" s="132">
        <f>Table11234[[#This Row],[M (KN.mm)]]/(Table11234[[#This Row],[b (mm)]]*Table11234[[#This Row],[h (mm)]])</f>
        <v>0.71214698162729673</v>
      </c>
      <c r="O31" s="133">
        <f>Table11234[[#This Row],[M (KN.mm)]]/(Table11234[[#This Row],[b (mm)]]*Table11234[[#This Row],[h (mm)]]*Table11234[[#This Row],[L(mm)]])</f>
        <v>3.5887721908777159E-4</v>
      </c>
      <c r="P31" s="133">
        <f>Table11234[[#This Row],[M (KN.mm)]]/(Table11234[[#This Row],[b (mm)]]*Table11234[[#This Row],[d (mm)]]*Table11234[[#This Row],[L(mm)]])</f>
        <v>4.1014539324316746E-4</v>
      </c>
      <c r="Q31" s="133">
        <f>Table11234[[#This Row],[M (KN.mm)]]/(Table11234[[#This Row],[b (mm)]]*Table11234[[#This Row],[h (mm)]]*Table11234[[#This Row],[L(mm)]]*Table11234[[#This Row],[fc (Mpa)]])</f>
        <v>1.9294474144503846E-5</v>
      </c>
      <c r="R31" s="133">
        <f>Table11234[[#This Row],[M (KN.mm)]]/(Table11234[[#This Row],[b (mm)]]*Table11234[[#This Row],[h (mm)]]*Table11234[[#This Row],[L(mm)]]/2)</f>
        <v>7.1775443817554318E-4</v>
      </c>
      <c r="S31" s="133">
        <f>Table11234[[#This Row],[M (KN.mm)]]/(Table11234[[#This Row],[a (mm)]]*Table11234[[#This Row],[b (mm)]]*Table11234[[#This Row],[h (mm)]]*Table11234[[#This Row],[L(mm)]]/2)</f>
        <v>1.1774186977945263E-6</v>
      </c>
      <c r="T31" s="110">
        <f>G31/($AK$5*AH31*0.001*Table11234[[#This Row],[pho (%)]])</f>
        <v>6.3503196594261239E-6</v>
      </c>
      <c r="U31" s="133">
        <f>Table11234[[#This Row],[M (KN.mm)]]/(Table11234[[#This Row],[b (mm)]]*Table11234[[#This Row],[d (mm)]]*Table11234[[#This Row],[pho (%)]])</f>
        <v>1.479785935848928</v>
      </c>
      <c r="V31" s="110">
        <f>E31*224.8/(2*SQRT(Table11234[[#This Row],[fc (Mpa)]]*145.037)*Table11234[[#This Row],[b (mm)]]*Table11234[[#This Row],[d (mm)]]*(1/25.4)^2)</f>
        <v>1.8640368553553155</v>
      </c>
      <c r="W31" s="110">
        <f>Table11234[[#This Row],[M (KN.mm)]]/$G$33</f>
        <v>0.83181818181818179</v>
      </c>
      <c r="X31" s="110">
        <f t="shared" si="9"/>
        <v>1.8640368553553155</v>
      </c>
      <c r="Y31" s="110">
        <f t="shared" si="4"/>
        <v>609.59999999999991</v>
      </c>
      <c r="Z31" s="110">
        <f t="shared" si="5"/>
        <v>266.7</v>
      </c>
      <c r="AA31" s="110">
        <f t="shared" si="6"/>
        <v>304.79999999999995</v>
      </c>
      <c r="AB31" s="134">
        <f t="shared" si="7"/>
        <v>228.6</v>
      </c>
      <c r="AC31" s="7">
        <v>18.600000000000001</v>
      </c>
      <c r="AD31" s="110">
        <f>Table11234[[#This Row],[pho (%)]]/100*Table11234[[#This Row],[b (mm)]]*Table11234[[#This Row],[h (mm)]]</f>
        <v>383.22503999999998</v>
      </c>
      <c r="AE31" s="135">
        <v>0.55000000000000004</v>
      </c>
      <c r="AF31" s="110">
        <v>640.5</v>
      </c>
      <c r="AG31" s="132">
        <f>(1/3-0.21*(MIN(Table11234[[#This Row],[b (mm)]],AA31)/MAX(Table11234[[#This Row],[b (mm)]],AA31))*(MIN(Table11234[[#This Row],[b (mm)]],AA31)^4/(12*MAX(Table11234[[#This Row],[b (mm)]],AA31)^4)))*MAX(Table11234[[#This Row],[b (mm)]],AA31)*MIN(Table11234[[#This Row],[b (mm)]],AA31)^3</f>
        <v>1198609576.1573534</v>
      </c>
      <c r="AH31" s="132">
        <f>Table11234[[#This Row],[b (mm)]]*AA31^3/12</f>
        <v>539435927.57759976</v>
      </c>
      <c r="AI31" s="132">
        <f t="shared" si="8"/>
        <v>1984.375</v>
      </c>
      <c r="AJ31"/>
      <c r="AK31"/>
    </row>
    <row r="32" spans="1:39" x14ac:dyDescent="0.25">
      <c r="A32" s="119" t="s">
        <v>73</v>
      </c>
      <c r="B32" s="110" t="s">
        <v>62</v>
      </c>
      <c r="C32" s="110">
        <v>47</v>
      </c>
      <c r="D32" s="110">
        <f>Table11234[[#This Row],[a (mm)]]/Table11234[[#This Row],[d (mm)]]</f>
        <v>2.2857142857142856</v>
      </c>
      <c r="E32" s="110">
        <v>94.742400000000018</v>
      </c>
      <c r="F32" s="127">
        <f>Table11234[[#This Row],[d (mm)]]</f>
        <v>266.7</v>
      </c>
      <c r="G32" s="110">
        <f t="shared" si="0"/>
        <v>57754.967040000003</v>
      </c>
      <c r="H32" s="110">
        <f t="shared" si="1"/>
        <v>4.0652456180424615E-6</v>
      </c>
      <c r="I32" s="132">
        <f>G32/(Table11234[[#This Row],[b (mm)]]*Z32^2)</f>
        <v>3.5519519565116232E-3</v>
      </c>
      <c r="J32" s="110">
        <f t="shared" si="2"/>
        <v>0.88225334240229092</v>
      </c>
      <c r="K32" s="110">
        <f t="shared" si="3"/>
        <v>2.5173116796075146E-6</v>
      </c>
      <c r="L32" s="132">
        <f>E32/(Table11234[[#This Row],[b (mm)]]*Z32)</f>
        <v>1.5539789809738353E-3</v>
      </c>
      <c r="M32" s="132">
        <f>Table11234[[#This Row],[M (KN.mm)]]/(Table11234[[#This Row],[b (mm)]]*Table11234[[#This Row],[d (mm)]])</f>
        <v>0.94730558680164989</v>
      </c>
      <c r="N32" s="132">
        <f>Table11234[[#This Row],[M (KN.mm)]]/(Table11234[[#This Row],[b (mm)]]*Table11234[[#This Row],[h (mm)]])</f>
        <v>0.82889238845144375</v>
      </c>
      <c r="O32" s="133">
        <f>Table11234[[#This Row],[M (KN.mm)]]/(Table11234[[#This Row],[b (mm)]]*Table11234[[#This Row],[h (mm)]]*Table11234[[#This Row],[L(mm)]])</f>
        <v>4.1770955008576697E-4</v>
      </c>
      <c r="P32" s="133">
        <f>Table11234[[#This Row],[M (KN.mm)]]/(Table11234[[#This Row],[b (mm)]]*Table11234[[#This Row],[d (mm)]]*Table11234[[#This Row],[L(mm)]])</f>
        <v>4.773823429551622E-4</v>
      </c>
      <c r="Q32" s="133">
        <f>Table11234[[#This Row],[M (KN.mm)]]/(Table11234[[#This Row],[b (mm)]]*Table11234[[#This Row],[h (mm)]]*Table11234[[#This Row],[L(mm)]]*Table11234[[#This Row],[fc (Mpa)]])</f>
        <v>2.2457502692783167E-5</v>
      </c>
      <c r="R32" s="133">
        <f>Table11234[[#This Row],[M (KN.mm)]]/(Table11234[[#This Row],[b (mm)]]*Table11234[[#This Row],[h (mm)]]*Table11234[[#This Row],[L(mm)]]/2)</f>
        <v>8.3541910017153394E-4</v>
      </c>
      <c r="S32" s="133">
        <f>Table11234[[#This Row],[M (KN.mm)]]/(Table11234[[#This Row],[a (mm)]]*Table11234[[#This Row],[b (mm)]]*Table11234[[#This Row],[h (mm)]]*Table11234[[#This Row],[L(mm)]]/2)</f>
        <v>1.3704381564493668E-6</v>
      </c>
      <c r="T32" s="110">
        <f>G32/($AK$5*AH32*0.001*Table11234[[#This Row],[pho (%)]])</f>
        <v>7.3913556691681116E-6</v>
      </c>
      <c r="U32" s="133">
        <f>Table11234[[#This Row],[M (KN.mm)]]/(Table11234[[#This Row],[b (mm)]]*Table11234[[#This Row],[d (mm)]]*Table11234[[#This Row],[pho (%)]])</f>
        <v>1.7223737941848181</v>
      </c>
      <c r="V32" s="110">
        <f>E32*224.8/(2*SQRT(Table11234[[#This Row],[fc (Mpa)]]*145.037)*Table11234[[#This Row],[b (mm)]]*Table11234[[#This Row],[d (mm)]]*(1/25.4)^2)</f>
        <v>2.1696166677086461</v>
      </c>
      <c r="W32" s="110">
        <f>Table11234[[#This Row],[M (KN.mm)]]/$G$33</f>
        <v>0.96818181818181825</v>
      </c>
      <c r="X32" s="110">
        <f t="shared" si="9"/>
        <v>2.1696166677086461</v>
      </c>
      <c r="Y32" s="110">
        <f t="shared" si="4"/>
        <v>609.59999999999991</v>
      </c>
      <c r="Z32" s="110">
        <f t="shared" si="5"/>
        <v>266.7</v>
      </c>
      <c r="AA32" s="110">
        <f t="shared" si="6"/>
        <v>304.79999999999995</v>
      </c>
      <c r="AB32" s="134">
        <f t="shared" si="7"/>
        <v>228.6</v>
      </c>
      <c r="AC32" s="7">
        <v>18.600000000000001</v>
      </c>
      <c r="AD32" s="110">
        <f>Table11234[[#This Row],[pho (%)]]/100*Table11234[[#This Row],[b (mm)]]*Table11234[[#This Row],[h (mm)]]</f>
        <v>383.22503999999998</v>
      </c>
      <c r="AE32" s="135">
        <v>0.55000000000000004</v>
      </c>
      <c r="AF32" s="110">
        <v>640.5</v>
      </c>
      <c r="AG32" s="132">
        <f>(1/3-0.21*(MIN(Table11234[[#This Row],[b (mm)]],AA32)/MAX(Table11234[[#This Row],[b (mm)]],AA32))*(MIN(Table11234[[#This Row],[b (mm)]],AA32)^4/(12*MAX(Table11234[[#This Row],[b (mm)]],AA32)^4)))*MAX(Table11234[[#This Row],[b (mm)]],AA32)*MIN(Table11234[[#This Row],[b (mm)]],AA32)^3</f>
        <v>1198609576.1573534</v>
      </c>
      <c r="AH32" s="132">
        <f>Table11234[[#This Row],[b (mm)]]*AA32^3/12</f>
        <v>539435927.57759976</v>
      </c>
      <c r="AI32" s="132">
        <f t="shared" si="8"/>
        <v>1984.375</v>
      </c>
      <c r="AJ32"/>
      <c r="AK32"/>
    </row>
    <row r="33" spans="1:44" x14ac:dyDescent="0.25">
      <c r="A33" s="120" t="s">
        <v>73</v>
      </c>
      <c r="B33" s="110" t="s">
        <v>63</v>
      </c>
      <c r="C33" s="110">
        <v>48</v>
      </c>
      <c r="D33" s="110">
        <f>Table11234[[#This Row],[a (mm)]]/Table11234[[#This Row],[d (mm)]]</f>
        <v>2.2857142857142856</v>
      </c>
      <c r="E33" s="110">
        <v>97.856000000000009</v>
      </c>
      <c r="F33" s="127">
        <f>Table11234[[#This Row],[d (mm)]]</f>
        <v>266.7</v>
      </c>
      <c r="G33" s="110">
        <f t="shared" si="0"/>
        <v>59653.017599999999</v>
      </c>
      <c r="H33" s="110">
        <f t="shared" si="1"/>
        <v>4.1988452392926827E-6</v>
      </c>
      <c r="I33" s="132">
        <f>G33/(Table11234[[#This Row],[b (mm)]]*Z33^2)</f>
        <v>3.6686827719838362E-3</v>
      </c>
      <c r="J33" s="110">
        <f t="shared" si="2"/>
        <v>0.91124758370189662</v>
      </c>
      <c r="K33" s="110">
        <f t="shared" si="3"/>
        <v>2.6000402324584658E-6</v>
      </c>
      <c r="L33" s="132">
        <f>E33/(Table11234[[#This Row],[b (mm)]]*Z33)</f>
        <v>1.6050487127429285E-3</v>
      </c>
      <c r="M33" s="132">
        <f>Table11234[[#This Row],[M (KN.mm)]]/(Table11234[[#This Row],[b (mm)]]*Table11234[[#This Row],[d (mm)]])</f>
        <v>0.9784376952880891</v>
      </c>
      <c r="N33" s="132">
        <f>Table11234[[#This Row],[M (KN.mm)]]/(Table11234[[#This Row],[b (mm)]]*Table11234[[#This Row],[h (mm)]])</f>
        <v>0.85613298337707799</v>
      </c>
      <c r="O33" s="133">
        <f>Table11234[[#This Row],[M (KN.mm)]]/(Table11234[[#This Row],[b (mm)]]*Table11234[[#This Row],[h (mm)]]*Table11234[[#This Row],[L(mm)]])</f>
        <v>4.3143709398529915E-4</v>
      </c>
      <c r="P33" s="133">
        <f>Table11234[[#This Row],[M (KN.mm)]]/(Table11234[[#This Row],[b (mm)]]*Table11234[[#This Row],[d (mm)]]*Table11234[[#This Row],[L(mm)]])</f>
        <v>4.9307096455462754E-4</v>
      </c>
      <c r="Q33" s="133">
        <f>Table11234[[#This Row],[M (KN.mm)]]/(Table11234[[#This Row],[b (mm)]]*Table11234[[#This Row],[h (mm)]]*Table11234[[#This Row],[L(mm)]]*Table11234[[#This Row],[fc (Mpa)]])</f>
        <v>2.3195542687381674E-5</v>
      </c>
      <c r="R33" s="133">
        <f>Table11234[[#This Row],[M (KN.mm)]]/(Table11234[[#This Row],[b (mm)]]*Table11234[[#This Row],[h (mm)]]*Table11234[[#This Row],[L(mm)]]/2)</f>
        <v>8.6287418797059831E-4</v>
      </c>
      <c r="S33" s="133">
        <f>Table11234[[#This Row],[M (KN.mm)]]/(Table11234[[#This Row],[a (mm)]]*Table11234[[#This Row],[b (mm)]]*Table11234[[#This Row],[h (mm)]]*Table11234[[#This Row],[L(mm)]]/2)</f>
        <v>1.4154760301354962E-6</v>
      </c>
      <c r="T33" s="110">
        <f>G33/($AK$5*AH33*0.001*Table11234[[#This Row],[pho (%)]])</f>
        <v>7.6342640714412412E-6</v>
      </c>
      <c r="U33" s="133">
        <f>Table11234[[#This Row],[M (KN.mm)]]/(Table11234[[#This Row],[b (mm)]]*Table11234[[#This Row],[d (mm)]]*Table11234[[#This Row],[pho (%)]])</f>
        <v>1.7789776277965255</v>
      </c>
      <c r="V33" s="110">
        <f>E33*224.8/(2*SQRT(Table11234[[#This Row],[fc (Mpa)]]*145.037)*Table11234[[#This Row],[b (mm)]]*Table11234[[#This Row],[d (mm)]]*(1/25.4)^2)</f>
        <v>2.240918623924423</v>
      </c>
      <c r="W33" s="110">
        <f>Table11234[[#This Row],[M (KN.mm)]]/$G$33</f>
        <v>1</v>
      </c>
      <c r="X33" s="110">
        <f t="shared" si="9"/>
        <v>2.240918623924423</v>
      </c>
      <c r="Y33" s="110">
        <f t="shared" si="4"/>
        <v>609.59999999999991</v>
      </c>
      <c r="Z33" s="110">
        <f t="shared" si="5"/>
        <v>266.7</v>
      </c>
      <c r="AA33" s="110">
        <f t="shared" si="6"/>
        <v>304.79999999999995</v>
      </c>
      <c r="AB33" s="134">
        <f t="shared" si="7"/>
        <v>228.6</v>
      </c>
      <c r="AC33" s="7">
        <v>18.600000000000001</v>
      </c>
      <c r="AD33" s="110">
        <f>Table11234[[#This Row],[pho (%)]]/100*Table11234[[#This Row],[b (mm)]]*Table11234[[#This Row],[h (mm)]]</f>
        <v>383.22503999999998</v>
      </c>
      <c r="AE33" s="135">
        <v>0.55000000000000004</v>
      </c>
      <c r="AF33" s="110">
        <v>640.5</v>
      </c>
      <c r="AG33" s="132">
        <f>(1/3-0.21*(MIN(Table11234[[#This Row],[b (mm)]],AA33)/MAX(Table11234[[#This Row],[b (mm)]],AA33))*(MIN(Table11234[[#This Row],[b (mm)]],AA33)^4/(12*MAX(Table11234[[#This Row],[b (mm)]],AA33)^4)))*MAX(Table11234[[#This Row],[b (mm)]],AA33)*MIN(Table11234[[#This Row],[b (mm)]],AA33)^3</f>
        <v>1198609576.1573534</v>
      </c>
      <c r="AH33" s="132">
        <f>Table11234[[#This Row],[b (mm)]]*AA33^3/12</f>
        <v>539435927.57759976</v>
      </c>
      <c r="AI33" s="132">
        <f t="shared" si="8"/>
        <v>1984.375</v>
      </c>
      <c r="AJ33"/>
      <c r="AK33"/>
    </row>
    <row r="34" spans="1:44" x14ac:dyDescent="0.25">
      <c r="A34" s="121" t="s">
        <v>74</v>
      </c>
      <c r="B34" s="110" t="s">
        <v>60</v>
      </c>
      <c r="C34" s="110">
        <v>49</v>
      </c>
      <c r="D34" s="110">
        <f>Table11234[[#This Row],[a (mm)]]/Table11234[[#This Row],[d (mm)]]</f>
        <v>2.2857142857142856</v>
      </c>
      <c r="E34" s="110">
        <v>68.054400000000015</v>
      </c>
      <c r="F34" s="127">
        <f>Table11234[[#This Row],[d (mm)]]</f>
        <v>266.7</v>
      </c>
      <c r="G34" s="110">
        <f>E34*Y34</f>
        <v>41485.962240000001</v>
      </c>
      <c r="H34" s="110">
        <f>G34/($AK$5*AH34*0.001)</f>
        <v>2.9201060073262751E-6</v>
      </c>
      <c r="I34" s="132">
        <f>G34/(Table11234[[#This Row],[b (mm)]]*Z34^2)</f>
        <v>2.5514021096069406E-3</v>
      </c>
      <c r="J34" s="110">
        <f>G34/(AD34*AF34*Z34*0.001)</f>
        <v>0.63373127411995545</v>
      </c>
      <c r="K34" s="110">
        <f>E34/($AK$4*AG34*0.001)</f>
        <v>1.8082097980279333E-6</v>
      </c>
      <c r="L34" s="132">
        <f>E34/(Table11234[[#This Row],[b (mm)]]*Z34)</f>
        <v>1.1162384229530368E-3</v>
      </c>
      <c r="M34" s="132">
        <f>Table11234[[#This Row],[M (KN.mm)]]/(Table11234[[#This Row],[b (mm)]]*Table11234[[#This Row],[d (mm)]])</f>
        <v>0.68045894263217099</v>
      </c>
      <c r="N34" s="132">
        <f>Table11234[[#This Row],[M (KN.mm)]]/(Table11234[[#This Row],[b (mm)]]*Table11234[[#This Row],[h (mm)]])</f>
        <v>0.5954015748031497</v>
      </c>
      <c r="O34" s="133">
        <f>Table11234[[#This Row],[M (KN.mm)]]/(Table11234[[#This Row],[b (mm)]]*Table11234[[#This Row],[h (mm)]]*Table11234[[#This Row],[L(mm)]])</f>
        <v>3.0004488808977627E-4</v>
      </c>
      <c r="P34" s="133">
        <f>Table11234[[#This Row],[M (KN.mm)]]/(Table11234[[#This Row],[b (mm)]]*Table11234[[#This Row],[d (mm)]]*Table11234[[#This Row],[L(mm)]])</f>
        <v>3.4290844353117284E-4</v>
      </c>
      <c r="Q34" s="133">
        <f>Table11234[[#This Row],[M (KN.mm)]]/(Table11234[[#This Row],[b (mm)]]*Table11234[[#This Row],[h (mm)]]*Table11234[[#This Row],[L(mm)]]*Table11234[[#This Row],[fc (Mpa)]])</f>
        <v>1.5546367258537627E-5</v>
      </c>
      <c r="R34" s="133">
        <f>Table11234[[#This Row],[M (KN.mm)]]/(Table11234[[#This Row],[b (mm)]]*Table11234[[#This Row],[h (mm)]]*Table11234[[#This Row],[L(mm)]]/2)</f>
        <v>6.0008977617955254E-4</v>
      </c>
      <c r="S34" s="133">
        <f>Table11234[[#This Row],[M (KN.mm)]]/(Table11234[[#This Row],[a (mm)]]*Table11234[[#This Row],[b (mm)]]*Table11234[[#This Row],[h (mm)]]*Table11234[[#This Row],[L(mm)]]/2)</f>
        <v>9.8439923913968605E-7</v>
      </c>
      <c r="T34" s="110">
        <f>G34/($AK$5*AH34*0.001*Table11234[[#This Row],[pho (%)]])</f>
        <v>5.3092836496841362E-6</v>
      </c>
      <c r="U34" s="133">
        <f>Table11234[[#This Row],[M (KN.mm)]]/(Table11234[[#This Row],[b (mm)]]*Table11234[[#This Row],[d (mm)]]*Table11234[[#This Row],[pho (%)]])</f>
        <v>1.2371980775130382</v>
      </c>
      <c r="V34" s="110">
        <f>E34*224.8/(2*SQRT(Table11234[[#This Row],[fc (Mpa)]]*145.037)*Table11234[[#This Row],[b (mm)]]*Table11234[[#This Row],[d (mm)]]*(1/25.4)^2)</f>
        <v>1.5299338500518322</v>
      </c>
      <c r="W34" s="110">
        <f>Table11234[[#This Row],[M (KN.mm)]]/$G$37</f>
        <v>0.66521739130434787</v>
      </c>
      <c r="X34" s="110">
        <f t="shared" si="9"/>
        <v>1.5299338500518322</v>
      </c>
      <c r="Y34" s="110">
        <f>24*25.4</f>
        <v>609.59999999999991</v>
      </c>
      <c r="Z34" s="110">
        <f>10.5*25.4</f>
        <v>266.7</v>
      </c>
      <c r="AA34" s="110">
        <f>12*25.4</f>
        <v>304.79999999999995</v>
      </c>
      <c r="AB34" s="134">
        <f>9*25.4</f>
        <v>228.6</v>
      </c>
      <c r="AC34" s="7">
        <v>19.3</v>
      </c>
      <c r="AD34" s="110">
        <f>Table11234[[#This Row],[pho (%)]]/100*Table11234[[#This Row],[b (mm)]]*Table11234[[#This Row],[h (mm)]]</f>
        <v>383.22503999999998</v>
      </c>
      <c r="AE34" s="135">
        <v>0.55000000000000004</v>
      </c>
      <c r="AF34" s="110">
        <v>640.5</v>
      </c>
      <c r="AG34" s="132">
        <f>(1/3-0.21*(MIN(Table11234[[#This Row],[b (mm)]],AA34)/MAX(Table11234[[#This Row],[b (mm)]],AA34))*(MIN(Table11234[[#This Row],[b (mm)]],AA34)^4/(12*MAX(Table11234[[#This Row],[b (mm)]],AA34)^4)))*MAX(Table11234[[#This Row],[b (mm)]],AA34)*MIN(Table11234[[#This Row],[b (mm)]],AA34)^3</f>
        <v>1198609576.1573534</v>
      </c>
      <c r="AH34" s="132">
        <f>Table11234[[#This Row],[b (mm)]]*AA34^3/12</f>
        <v>539435927.57759976</v>
      </c>
      <c r="AI34" s="132">
        <f>78.125*25.4</f>
        <v>1984.375</v>
      </c>
      <c r="AJ34"/>
      <c r="AK34"/>
    </row>
    <row r="35" spans="1:44" x14ac:dyDescent="0.25">
      <c r="A35" s="121" t="s">
        <v>74</v>
      </c>
      <c r="B35" s="110" t="s">
        <v>61</v>
      </c>
      <c r="C35" s="110">
        <v>50</v>
      </c>
      <c r="D35" s="110">
        <f>Table11234[[#This Row],[a (mm)]]/Table11234[[#This Row],[d (mm)]]</f>
        <v>2.2857142857142856</v>
      </c>
      <c r="E35" s="110">
        <v>81.398400000000009</v>
      </c>
      <c r="F35" s="127">
        <f>Table11234[[#This Row],[d (mm)]]</f>
        <v>266.7</v>
      </c>
      <c r="G35" s="110">
        <f>E35*Y35</f>
        <v>49620.464639999998</v>
      </c>
      <c r="H35" s="110">
        <f>G35/($AK$5*AH35*0.001)</f>
        <v>3.4926758126843683E-6</v>
      </c>
      <c r="I35" s="132">
        <f>G35/(Table11234[[#This Row],[b (mm)]]*Z35^2)</f>
        <v>3.0516770330592815E-3</v>
      </c>
      <c r="J35" s="110">
        <f>G35/(AD35*AF35*Z35*0.001)</f>
        <v>0.75799230826112307</v>
      </c>
      <c r="K35" s="110">
        <f>E35/($AK$4*AG35*0.001)</f>
        <v>2.1627607388177239E-6</v>
      </c>
      <c r="L35" s="132">
        <f>E35/(Table11234[[#This Row],[b (mm)]]*Z35)</f>
        <v>1.3351087019634359E-3</v>
      </c>
      <c r="M35" s="132">
        <f>Table11234[[#This Row],[M (KN.mm)]]/(Table11234[[#This Row],[b (mm)]]*Table11234[[#This Row],[d (mm)]])</f>
        <v>0.81388226471691039</v>
      </c>
      <c r="N35" s="132">
        <f>Table11234[[#This Row],[M (KN.mm)]]/(Table11234[[#This Row],[b (mm)]]*Table11234[[#This Row],[h (mm)]])</f>
        <v>0.71214698162729673</v>
      </c>
      <c r="O35" s="133">
        <f>Table11234[[#This Row],[M (KN.mm)]]/(Table11234[[#This Row],[b (mm)]]*Table11234[[#This Row],[h (mm)]]*Table11234[[#This Row],[L(mm)]])</f>
        <v>3.5887721908777159E-4</v>
      </c>
      <c r="P35" s="133">
        <f>Table11234[[#This Row],[M (KN.mm)]]/(Table11234[[#This Row],[b (mm)]]*Table11234[[#This Row],[d (mm)]]*Table11234[[#This Row],[L(mm)]])</f>
        <v>4.1014539324316746E-4</v>
      </c>
      <c r="Q35" s="133">
        <f>Table11234[[#This Row],[M (KN.mm)]]/(Table11234[[#This Row],[b (mm)]]*Table11234[[#This Row],[h (mm)]]*Table11234[[#This Row],[L(mm)]]*Table11234[[#This Row],[fc (Mpa)]])</f>
        <v>1.8594674564133242E-5</v>
      </c>
      <c r="R35" s="133">
        <f>Table11234[[#This Row],[M (KN.mm)]]/(Table11234[[#This Row],[b (mm)]]*Table11234[[#This Row],[h (mm)]]*Table11234[[#This Row],[L(mm)]]/2)</f>
        <v>7.1775443817554318E-4</v>
      </c>
      <c r="S35" s="133">
        <f>Table11234[[#This Row],[M (KN.mm)]]/(Table11234[[#This Row],[a (mm)]]*Table11234[[#This Row],[b (mm)]]*Table11234[[#This Row],[h (mm)]]*Table11234[[#This Row],[L(mm)]]/2)</f>
        <v>1.1774186977945263E-6</v>
      </c>
      <c r="T35" s="110">
        <f>G35/($AK$5*AH35*0.001*Table11234[[#This Row],[pho (%)]])</f>
        <v>6.3503196594261239E-6</v>
      </c>
      <c r="U35" s="133">
        <f>Table11234[[#This Row],[M (KN.mm)]]/(Table11234[[#This Row],[b (mm)]]*Table11234[[#This Row],[d (mm)]]*Table11234[[#This Row],[pho (%)]])</f>
        <v>1.479785935848928</v>
      </c>
      <c r="V35" s="110">
        <f>E35*224.8/(2*SQRT(Table11234[[#This Row],[fc (Mpa)]]*145.037)*Table11234[[#This Row],[b (mm)]]*Table11234[[#This Row],[d (mm)]]*(1/25.4)^2)</f>
        <v>1.8299208794737598</v>
      </c>
      <c r="W35" s="110">
        <f>Table11234[[#This Row],[M (KN.mm)]]/$G$37</f>
        <v>0.79565217391304355</v>
      </c>
      <c r="X35" s="110">
        <f t="shared" si="9"/>
        <v>1.8299208794737598</v>
      </c>
      <c r="Y35" s="110">
        <f>24*25.4</f>
        <v>609.59999999999991</v>
      </c>
      <c r="Z35" s="110">
        <f>10.5*25.4</f>
        <v>266.7</v>
      </c>
      <c r="AA35" s="110">
        <f>12*25.4</f>
        <v>304.79999999999995</v>
      </c>
      <c r="AB35" s="134">
        <f>9*25.4</f>
        <v>228.6</v>
      </c>
      <c r="AC35" s="7">
        <v>19.3</v>
      </c>
      <c r="AD35" s="110">
        <f>Table11234[[#This Row],[pho (%)]]/100*Table11234[[#This Row],[b (mm)]]*Table11234[[#This Row],[h (mm)]]</f>
        <v>383.22503999999998</v>
      </c>
      <c r="AE35" s="135">
        <v>0.55000000000000004</v>
      </c>
      <c r="AF35" s="110">
        <v>640.5</v>
      </c>
      <c r="AG35" s="132">
        <f>(1/3-0.21*(MIN(Table11234[[#This Row],[b (mm)]],AA35)/MAX(Table11234[[#This Row],[b (mm)]],AA35))*(MIN(Table11234[[#This Row],[b (mm)]],AA35)^4/(12*MAX(Table11234[[#This Row],[b (mm)]],AA35)^4)))*MAX(Table11234[[#This Row],[b (mm)]],AA35)*MIN(Table11234[[#This Row],[b (mm)]],AA35)^3</f>
        <v>1198609576.1573534</v>
      </c>
      <c r="AH35" s="132">
        <f>Table11234[[#This Row],[b (mm)]]*AA35^3/12</f>
        <v>539435927.57759976</v>
      </c>
      <c r="AI35" s="132">
        <f>78.125*25.4</f>
        <v>1984.375</v>
      </c>
      <c r="AJ35"/>
      <c r="AK35"/>
    </row>
    <row r="36" spans="1:44" x14ac:dyDescent="0.25">
      <c r="A36" s="121" t="s">
        <v>74</v>
      </c>
      <c r="B36" s="110" t="s">
        <v>62</v>
      </c>
      <c r="C36" s="110">
        <v>51</v>
      </c>
      <c r="D36" s="110">
        <f>Table11234[[#This Row],[a (mm)]]/Table11234[[#This Row],[d (mm)]]</f>
        <v>2.2857142857142856</v>
      </c>
      <c r="E36" s="110">
        <v>95.187200000000004</v>
      </c>
      <c r="F36" s="127">
        <f>Table11234[[#This Row],[d (mm)]]</f>
        <v>266.7</v>
      </c>
      <c r="G36" s="110">
        <f>E36*Y36</f>
        <v>58026.117119999995</v>
      </c>
      <c r="H36" s="110">
        <f>G36/($AK$5*AH36*0.001)</f>
        <v>4.0843312782210639E-6</v>
      </c>
      <c r="I36" s="132">
        <f>G36/(Table11234[[#This Row],[b (mm)]]*Z36^2)</f>
        <v>3.5686277872933676E-3</v>
      </c>
      <c r="J36" s="110">
        <f>G36/(AD36*AF36*Z36*0.001)</f>
        <v>0.8863953768736631</v>
      </c>
      <c r="K36" s="110">
        <f>E36/($AK$4*AG36*0.001)</f>
        <v>2.5291300443005076E-6</v>
      </c>
      <c r="L36" s="132">
        <f>E36/(Table11234[[#This Row],[b (mm)]]*Z36)</f>
        <v>1.5612746569408484E-3</v>
      </c>
      <c r="M36" s="132">
        <f>Table11234[[#This Row],[M (KN.mm)]]/(Table11234[[#This Row],[b (mm)]]*Table11234[[#This Row],[d (mm)]])</f>
        <v>0.95175303087114116</v>
      </c>
      <c r="N36" s="132">
        <f>Table11234[[#This Row],[M (KN.mm)]]/(Table11234[[#This Row],[b (mm)]]*Table11234[[#This Row],[h (mm)]])</f>
        <v>0.83278390201224861</v>
      </c>
      <c r="O36" s="133">
        <f>Table11234[[#This Row],[M (KN.mm)]]/(Table11234[[#This Row],[b (mm)]]*Table11234[[#This Row],[h (mm)]]*Table11234[[#This Row],[L(mm)]])</f>
        <v>4.1967062778570008E-4</v>
      </c>
      <c r="P36" s="133">
        <f>Table11234[[#This Row],[M (KN.mm)]]/(Table11234[[#This Row],[b (mm)]]*Table11234[[#This Row],[d (mm)]]*Table11234[[#This Row],[L(mm)]])</f>
        <v>4.7962357461222861E-4</v>
      </c>
      <c r="Q36" s="133">
        <f>Table11234[[#This Row],[M (KN.mm)]]/(Table11234[[#This Row],[b (mm)]]*Table11234[[#This Row],[h (mm)]]*Table11234[[#This Row],[L(mm)]]*Table11234[[#This Row],[fc (Mpa)]])</f>
        <v>2.1744592113248708E-5</v>
      </c>
      <c r="R36" s="133">
        <f>Table11234[[#This Row],[M (KN.mm)]]/(Table11234[[#This Row],[b (mm)]]*Table11234[[#This Row],[h (mm)]]*Table11234[[#This Row],[L(mm)]]/2)</f>
        <v>8.3934125557140016E-4</v>
      </c>
      <c r="S36" s="133">
        <f>Table11234[[#This Row],[M (KN.mm)]]/(Table11234[[#This Row],[a (mm)]]*Table11234[[#This Row],[b (mm)]]*Table11234[[#This Row],[h (mm)]]*Table11234[[#This Row],[L(mm)]]/2)</f>
        <v>1.3768721384045279E-6</v>
      </c>
      <c r="T36" s="110">
        <f>G36/($AK$5*AH36*0.001*Table11234[[#This Row],[pho (%)]])</f>
        <v>7.4260568694928436E-6</v>
      </c>
      <c r="U36" s="133">
        <f>Table11234[[#This Row],[M (KN.mm)]]/(Table11234[[#This Row],[b (mm)]]*Table11234[[#This Row],[d (mm)]]*Table11234[[#This Row],[pho (%)]])</f>
        <v>1.7304600561293473</v>
      </c>
      <c r="V36" s="110">
        <f>E36*224.8/(2*SQRT(Table11234[[#This Row],[fc (Mpa)]]*145.037)*Table11234[[#This Row],[b (mm)]]*Table11234[[#This Row],[d (mm)]]*(1/25.4)^2)</f>
        <v>2.139907476543085</v>
      </c>
      <c r="W36" s="110">
        <f>Table11234[[#This Row],[M (KN.mm)]]/$G$37</f>
        <v>0.93043478260869572</v>
      </c>
      <c r="X36" s="110">
        <f t="shared" si="9"/>
        <v>2.139907476543085</v>
      </c>
      <c r="Y36" s="110">
        <f>24*25.4</f>
        <v>609.59999999999991</v>
      </c>
      <c r="Z36" s="110">
        <f>10.5*25.4</f>
        <v>266.7</v>
      </c>
      <c r="AA36" s="110">
        <f>12*25.4</f>
        <v>304.79999999999995</v>
      </c>
      <c r="AB36" s="134">
        <f>9*25.4</f>
        <v>228.6</v>
      </c>
      <c r="AC36" s="7">
        <v>19.3</v>
      </c>
      <c r="AD36" s="110">
        <f>Table11234[[#This Row],[pho (%)]]/100*Table11234[[#This Row],[b (mm)]]*Table11234[[#This Row],[h (mm)]]</f>
        <v>383.22503999999998</v>
      </c>
      <c r="AE36" s="135">
        <v>0.55000000000000004</v>
      </c>
      <c r="AF36" s="110">
        <v>640.5</v>
      </c>
      <c r="AG36" s="132">
        <f>(1/3-0.21*(MIN(Table11234[[#This Row],[b (mm)]],AA36)/MAX(Table11234[[#This Row],[b (mm)]],AA36))*(MIN(Table11234[[#This Row],[b (mm)]],AA36)^4/(12*MAX(Table11234[[#This Row],[b (mm)]],AA36)^4)))*MAX(Table11234[[#This Row],[b (mm)]],AA36)*MIN(Table11234[[#This Row],[b (mm)]],AA36)^3</f>
        <v>1198609576.1573534</v>
      </c>
      <c r="AH36" s="132">
        <f>Table11234[[#This Row],[b (mm)]]*AA36^3/12</f>
        <v>539435927.57759976</v>
      </c>
      <c r="AI36" s="132">
        <f>78.125*25.4</f>
        <v>1984.375</v>
      </c>
      <c r="AJ36"/>
      <c r="AK36"/>
    </row>
    <row r="37" spans="1:44" x14ac:dyDescent="0.25">
      <c r="A37" s="122" t="s">
        <v>74</v>
      </c>
      <c r="B37" s="110" t="s">
        <v>63</v>
      </c>
      <c r="C37" s="110">
        <v>52</v>
      </c>
      <c r="D37" s="110">
        <f>Table11234[[#This Row],[a (mm)]]/Table11234[[#This Row],[d (mm)]]</f>
        <v>2.2857142857142856</v>
      </c>
      <c r="E37" s="110">
        <v>102.304</v>
      </c>
      <c r="F37" s="127">
        <f>Table11234[[#This Row],[d (mm)]]</f>
        <v>266.7</v>
      </c>
      <c r="G37" s="110">
        <f>E37*Y37</f>
        <v>62364.518399999994</v>
      </c>
      <c r="H37" s="110">
        <f>G37/($AK$5*AH37*0.001)</f>
        <v>4.3897018410787138E-6</v>
      </c>
      <c r="I37" s="132">
        <f>G37/(Table11234[[#This Row],[b (mm)]]*Z37^2)</f>
        <v>3.8354410798012825E-3</v>
      </c>
      <c r="J37" s="110">
        <f>G37/(AD37*AF37*Z37*0.001)</f>
        <v>0.9526679284156192</v>
      </c>
      <c r="K37" s="110">
        <f>E37/($AK$4*AG37*0.001)</f>
        <v>2.7182238793883959E-6</v>
      </c>
      <c r="L37" s="132">
        <f>E37/(Table11234[[#This Row],[b (mm)]]*Z37)</f>
        <v>1.6780054724130614E-3</v>
      </c>
      <c r="M37" s="132">
        <f>Table11234[[#This Row],[M (KN.mm)]]/(Table11234[[#This Row],[b (mm)]]*Table11234[[#This Row],[d (mm)]])</f>
        <v>1.022912135983002</v>
      </c>
      <c r="N37" s="132">
        <f>Table11234[[#This Row],[M (KN.mm)]]/(Table11234[[#This Row],[b (mm)]]*Table11234[[#This Row],[h (mm)]])</f>
        <v>0.89504811898512693</v>
      </c>
      <c r="O37" s="133">
        <f>Table11234[[#This Row],[M (KN.mm)]]/(Table11234[[#This Row],[b (mm)]]*Table11234[[#This Row],[h (mm)]]*Table11234[[#This Row],[L(mm)]])</f>
        <v>4.5104787098463093E-4</v>
      </c>
      <c r="P37" s="133">
        <f>Table11234[[#This Row],[M (KN.mm)]]/(Table11234[[#This Row],[b (mm)]]*Table11234[[#This Row],[d (mm)]]*Table11234[[#This Row],[L(mm)]])</f>
        <v>5.1548328112529238E-4</v>
      </c>
      <c r="Q37" s="133">
        <f>Table11234[[#This Row],[M (KN.mm)]]/(Table11234[[#This Row],[b (mm)]]*Table11234[[#This Row],[h (mm)]]*Table11234[[#This Row],[L(mm)]]*Table11234[[#This Row],[fc (Mpa)]])</f>
        <v>2.3370356009566368E-5</v>
      </c>
      <c r="R37" s="133">
        <f>Table11234[[#This Row],[M (KN.mm)]]/(Table11234[[#This Row],[b (mm)]]*Table11234[[#This Row],[h (mm)]]*Table11234[[#This Row],[L(mm)]]/2)</f>
        <v>9.0209574196926186E-4</v>
      </c>
      <c r="S37" s="133">
        <f>Table11234[[#This Row],[M (KN.mm)]]/(Table11234[[#This Row],[a (mm)]]*Table11234[[#This Row],[b (mm)]]*Table11234[[#This Row],[h (mm)]]*Table11234[[#This Row],[L(mm)]]/2)</f>
        <v>1.4798158496871095E-6</v>
      </c>
      <c r="T37" s="110">
        <f>G37/($AK$5*AH37*0.001*Table11234[[#This Row],[pho (%)]])</f>
        <v>7.9812760746885704E-6</v>
      </c>
      <c r="U37" s="133">
        <f>Table11234[[#This Row],[M (KN.mm)]]/(Table11234[[#This Row],[b (mm)]]*Table11234[[#This Row],[d (mm)]]*Table11234[[#This Row],[pho (%)]])</f>
        <v>1.8598402472418218</v>
      </c>
      <c r="V37" s="110">
        <f>E37*224.8/(2*SQRT(Table11234[[#This Row],[fc (Mpa)]]*145.037)*Table11234[[#This Row],[b (mm)]]*Table11234[[#This Row],[d (mm)]]*(1/25.4)^2)</f>
        <v>2.2999005589014465</v>
      </c>
      <c r="W37" s="110">
        <f>Table11234[[#This Row],[M (KN.mm)]]/$G$37</f>
        <v>1</v>
      </c>
      <c r="X37" s="110">
        <f t="shared" si="9"/>
        <v>2.2999005589014465</v>
      </c>
      <c r="Y37" s="110">
        <f>24*25.4</f>
        <v>609.59999999999991</v>
      </c>
      <c r="Z37" s="110">
        <f>10.5*25.4</f>
        <v>266.7</v>
      </c>
      <c r="AA37" s="110">
        <f>12*25.4</f>
        <v>304.79999999999995</v>
      </c>
      <c r="AB37" s="134">
        <f>9*25.4</f>
        <v>228.6</v>
      </c>
      <c r="AC37" s="7">
        <v>19.3</v>
      </c>
      <c r="AD37" s="110">
        <f>Table11234[[#This Row],[pho (%)]]/100*Table11234[[#This Row],[b (mm)]]*Table11234[[#This Row],[h (mm)]]</f>
        <v>383.22503999999998</v>
      </c>
      <c r="AE37" s="135">
        <v>0.55000000000000004</v>
      </c>
      <c r="AF37" s="110">
        <v>640.5</v>
      </c>
      <c r="AG37" s="132">
        <f>(1/3-0.21*(MIN(Table11234[[#This Row],[b (mm)]],AA37)/MAX(Table11234[[#This Row],[b (mm)]],AA37))*(MIN(Table11234[[#This Row],[b (mm)]],AA37)^4/(12*MAX(Table11234[[#This Row],[b (mm)]],AA37)^4)))*MAX(Table11234[[#This Row],[b (mm)]],AA37)*MIN(Table11234[[#This Row],[b (mm)]],AA37)^3</f>
        <v>1198609576.1573534</v>
      </c>
      <c r="AH37" s="132">
        <f>Table11234[[#This Row],[b (mm)]]*AA37^3/12</f>
        <v>539435927.57759976</v>
      </c>
      <c r="AI37" s="132">
        <f>78.125*25.4</f>
        <v>1984.375</v>
      </c>
      <c r="AJ37"/>
      <c r="AK37"/>
    </row>
    <row r="38" spans="1:44" x14ac:dyDescent="0.25">
      <c r="A38" s="136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6"/>
      <c r="W38" s="136"/>
      <c r="X38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6"/>
      <c r="AM38" s="136"/>
      <c r="AN38" s="136"/>
      <c r="AO38" s="136"/>
      <c r="AP38" s="136"/>
      <c r="AQ38"/>
      <c r="AR38"/>
    </row>
    <row r="39" spans="1:44" x14ac:dyDescent="0.25">
      <c r="A39" s="136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/>
      <c r="AR39"/>
    </row>
    <row r="40" spans="1:44" x14ac:dyDescent="0.25">
      <c r="A40" s="136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6"/>
      <c r="AM40" s="136"/>
      <c r="AN40" s="136"/>
      <c r="AO40" s="136"/>
      <c r="AP40" s="136"/>
      <c r="AQ40"/>
      <c r="AR40"/>
    </row>
    <row r="41" spans="1:44" x14ac:dyDescent="0.25">
      <c r="A41" s="136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/>
      <c r="S41" s="136"/>
      <c r="T41" s="136"/>
      <c r="U41" s="136"/>
      <c r="V41" s="136"/>
      <c r="W41" s="136"/>
      <c r="X41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6"/>
      <c r="AM41" s="136"/>
      <c r="AN41" s="136"/>
      <c r="AO41" s="136"/>
      <c r="AP41" s="136"/>
      <c r="AQ41"/>
      <c r="AR41"/>
    </row>
    <row r="42" spans="1:44" x14ac:dyDescent="0.25">
      <c r="A42" s="136"/>
      <c r="B42" s="136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36"/>
      <c r="AN42" s="136"/>
      <c r="AO42" s="136"/>
      <c r="AP42" s="136"/>
      <c r="AQ42"/>
      <c r="AR42"/>
    </row>
    <row r="43" spans="1:44" x14ac:dyDescent="0.25">
      <c r="A43" s="136"/>
      <c r="B43" s="136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36"/>
      <c r="AN43" s="136"/>
      <c r="AO43" s="136"/>
      <c r="AP43" s="136"/>
      <c r="AQ43"/>
      <c r="AR43"/>
    </row>
    <row r="44" spans="1:44" x14ac:dyDescent="0.25">
      <c r="A44" s="136"/>
      <c r="B44" s="136"/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6"/>
      <c r="AM44" s="136"/>
      <c r="AN44" s="136"/>
      <c r="AO44" s="136"/>
      <c r="AP44" s="136"/>
      <c r="AQ44"/>
      <c r="AR44"/>
    </row>
    <row r="45" spans="1:44" x14ac:dyDescent="0.25">
      <c r="A45" s="136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/>
      <c r="Y45" s="136"/>
      <c r="Z45" s="136"/>
      <c r="AA45" s="136"/>
      <c r="AB45" s="136"/>
      <c r="AC45" s="136"/>
      <c r="AD45" s="136"/>
      <c r="AE45" s="136"/>
      <c r="AF45" s="136"/>
      <c r="AG45" s="136"/>
      <c r="AH45" s="136"/>
      <c r="AI45" s="136"/>
      <c r="AJ45" s="136"/>
      <c r="AK45" s="136"/>
      <c r="AL45" s="136"/>
      <c r="AM45" s="136"/>
      <c r="AN45" s="136"/>
      <c r="AO45" s="136"/>
      <c r="AP45" s="136"/>
      <c r="AQ45"/>
      <c r="AR45"/>
    </row>
    <row r="46" spans="1:44" x14ac:dyDescent="0.25">
      <c r="A46" s="136"/>
      <c r="B46" s="136"/>
      <c r="C46" s="136"/>
      <c r="D46" s="136"/>
      <c r="E46" s="136"/>
      <c r="F46" s="136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/>
      <c r="X46"/>
      <c r="Y46"/>
      <c r="Z46" s="136"/>
      <c r="AA46" s="136"/>
      <c r="AB46" s="136"/>
      <c r="AC46" s="136"/>
      <c r="AD46" s="136"/>
      <c r="AE46" s="136"/>
      <c r="AF46" s="136"/>
      <c r="AG46" s="136"/>
      <c r="AH46" s="136"/>
      <c r="AI46" s="136"/>
      <c r="AJ46" s="136"/>
      <c r="AK46" s="136"/>
      <c r="AL46" s="136"/>
      <c r="AM46" s="136"/>
      <c r="AN46" s="136"/>
      <c r="AO46" s="136"/>
      <c r="AP46" s="136"/>
      <c r="AQ46"/>
      <c r="AR46"/>
    </row>
    <row r="47" spans="1:44" x14ac:dyDescent="0.25">
      <c r="A47" s="136"/>
      <c r="B47" s="136"/>
      <c r="C47" s="136"/>
      <c r="D47" s="136"/>
      <c r="E47" s="136"/>
      <c r="F47" s="136"/>
      <c r="G47" s="136"/>
      <c r="H47" s="136"/>
      <c r="I47" s="136"/>
      <c r="J47" s="136"/>
      <c r="K47" s="136"/>
      <c r="L47" s="136"/>
      <c r="M47" s="136"/>
      <c r="N47" s="136"/>
      <c r="O47" s="136"/>
      <c r="P47" s="136"/>
      <c r="Q47" s="136"/>
      <c r="R47" s="136"/>
      <c r="S47" s="136"/>
      <c r="T47" s="136"/>
      <c r="U47" s="136"/>
      <c r="V47" s="136"/>
      <c r="W47"/>
      <c r="X47"/>
      <c r="Y47"/>
      <c r="Z47" s="136"/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6"/>
      <c r="AM47" s="136"/>
      <c r="AN47" s="136"/>
      <c r="AO47" s="136"/>
      <c r="AP47" s="136"/>
      <c r="AQ47"/>
      <c r="AR47"/>
    </row>
    <row r="48" spans="1:44" x14ac:dyDescent="0.25">
      <c r="A48" s="136"/>
      <c r="B48" s="136"/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/>
      <c r="X48"/>
      <c r="Y48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6"/>
      <c r="AM48" s="136"/>
      <c r="AN48" s="136"/>
      <c r="AO48" s="136"/>
      <c r="AP48" s="136"/>
      <c r="AQ48"/>
      <c r="AR48"/>
    </row>
    <row r="49" spans="1:44" x14ac:dyDescent="0.25">
      <c r="A49" s="136"/>
      <c r="B49" s="136"/>
      <c r="C49" s="136"/>
      <c r="D49" s="136"/>
      <c r="E49" s="136"/>
      <c r="F49" s="136"/>
      <c r="G49" s="136"/>
      <c r="H49" s="136"/>
      <c r="I49" s="136"/>
      <c r="J49" s="136"/>
      <c r="K49" s="136"/>
      <c r="L49" s="136"/>
      <c r="M49" s="136"/>
      <c r="N49" s="136"/>
      <c r="O49" s="136"/>
      <c r="P49" s="136"/>
      <c r="Q49" s="136"/>
      <c r="R49" s="136"/>
      <c r="S49" s="136"/>
      <c r="T49" s="136"/>
      <c r="U49" s="136"/>
      <c r="V49" s="136"/>
      <c r="W49"/>
      <c r="X49"/>
      <c r="Y49"/>
      <c r="Z49" s="136"/>
      <c r="AA49" s="136"/>
      <c r="AB49" s="136"/>
      <c r="AC49" s="136"/>
      <c r="AD49" s="136"/>
      <c r="AE49" s="136"/>
      <c r="AF49" s="136"/>
      <c r="AG49" s="136"/>
      <c r="AH49" s="136"/>
      <c r="AI49" s="136"/>
      <c r="AJ49" s="136"/>
      <c r="AK49" s="136"/>
      <c r="AL49" s="136"/>
      <c r="AM49" s="136"/>
      <c r="AN49" s="136"/>
      <c r="AO49" s="136"/>
      <c r="AP49" s="136"/>
      <c r="AQ49"/>
      <c r="AR49"/>
    </row>
    <row r="50" spans="1:44" x14ac:dyDescent="0.25">
      <c r="A50" s="136"/>
      <c r="B50" s="136"/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/>
      <c r="X50"/>
      <c r="Y50"/>
      <c r="Z50" s="136"/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6"/>
      <c r="AM50" s="136"/>
      <c r="AN50" s="136"/>
      <c r="AO50" s="136"/>
      <c r="AP50" s="136"/>
      <c r="AQ50"/>
      <c r="AR50"/>
    </row>
    <row r="51" spans="1:44" x14ac:dyDescent="0.25">
      <c r="A51" s="136"/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/>
      <c r="X51"/>
      <c r="Y51"/>
      <c r="Z51" s="136"/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6"/>
      <c r="AM51" s="136"/>
      <c r="AN51" s="136"/>
      <c r="AO51" s="136"/>
      <c r="AP51" s="136"/>
      <c r="AQ51"/>
      <c r="AR51"/>
    </row>
    <row r="52" spans="1:44" x14ac:dyDescent="0.25">
      <c r="A52" s="136"/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/>
      <c r="X52"/>
      <c r="Y52"/>
      <c r="Z52" s="136"/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6"/>
      <c r="AM52" s="136"/>
      <c r="AN52" s="136"/>
      <c r="AO52" s="136"/>
      <c r="AP52" s="136"/>
      <c r="AQ52"/>
      <c r="AR52"/>
    </row>
    <row r="53" spans="1:44" x14ac:dyDescent="0.25">
      <c r="A53" s="136"/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/>
      <c r="S53" s="136"/>
      <c r="T53" s="136"/>
      <c r="U53" s="136"/>
      <c r="V53" s="136"/>
      <c r="W53"/>
      <c r="X53"/>
      <c r="Y53"/>
      <c r="Z53" s="136"/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6"/>
      <c r="AM53" s="136"/>
      <c r="AN53" s="136"/>
      <c r="AO53" s="136"/>
      <c r="AP53" s="136"/>
      <c r="AQ53"/>
      <c r="AR53"/>
    </row>
    <row r="54" spans="1:44" x14ac:dyDescent="0.25">
      <c r="A54" s="105"/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36"/>
      <c r="AC54" s="105"/>
      <c r="AD54" s="105"/>
      <c r="AE54" s="105"/>
      <c r="AF54" s="105"/>
      <c r="AG54" s="105"/>
      <c r="AH54" s="105"/>
      <c r="AI54" s="105"/>
      <c r="AJ54" s="136"/>
      <c r="AK54" s="136"/>
      <c r="AL54" s="136"/>
      <c r="AM54" s="136"/>
      <c r="AN54" s="105"/>
      <c r="AO54" s="105"/>
      <c r="AP54" s="105"/>
    </row>
    <row r="55" spans="1:44" x14ac:dyDescent="0.25">
      <c r="A55" s="105"/>
      <c r="B55" s="105"/>
      <c r="C55" s="105"/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36"/>
      <c r="AK55" s="136"/>
      <c r="AL55" s="136"/>
      <c r="AM55" s="136"/>
      <c r="AN55" s="105"/>
      <c r="AO55" s="105"/>
      <c r="AP55" s="105"/>
    </row>
    <row r="56" spans="1:44" x14ac:dyDescent="0.25">
      <c r="A56" s="105"/>
      <c r="B56" s="105"/>
      <c r="C56" s="105"/>
      <c r="D56" s="105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36"/>
      <c r="AK56" s="136"/>
      <c r="AL56" s="136"/>
      <c r="AM56" s="136"/>
      <c r="AN56" s="105"/>
      <c r="AO56" s="105"/>
      <c r="AP56" s="105"/>
    </row>
    <row r="57" spans="1:44" x14ac:dyDescent="0.25">
      <c r="AJ57"/>
      <c r="AK5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R83"/>
  <sheetViews>
    <sheetView zoomScaleNormal="100" workbookViewId="0">
      <selection activeCell="T3" sqref="T3"/>
    </sheetView>
  </sheetViews>
  <sheetFormatPr defaultRowHeight="15" x14ac:dyDescent="0.25"/>
  <cols>
    <col min="1" max="1" width="6.28515625" style="2" customWidth="1"/>
    <col min="2" max="2" width="8.28515625" style="2" customWidth="1"/>
    <col min="3" max="3" width="7.42578125" style="2" customWidth="1"/>
    <col min="4" max="4" width="11.7109375" style="2" customWidth="1"/>
    <col min="5" max="5" width="10.85546875" style="2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3.140625" style="2" customWidth="1"/>
    <col min="11" max="11" width="8.85546875" style="2" customWidth="1"/>
    <col min="12" max="12" width="8.42578125" style="2" customWidth="1"/>
    <col min="13" max="17" width="10" style="2" customWidth="1"/>
    <col min="18" max="24" width="14.71093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style="2" customWidth="1"/>
    <col min="37" max="37" width="15.7109375" style="2" customWidth="1"/>
    <col min="40" max="16384" width="9.140625" style="2"/>
  </cols>
  <sheetData>
    <row r="1" spans="1:39" ht="80.25" customHeight="1" x14ac:dyDescent="0.25">
      <c r="A1" s="74" t="s">
        <v>59</v>
      </c>
      <c r="B1" s="74" t="s">
        <v>57</v>
      </c>
      <c r="C1" s="74" t="s">
        <v>58</v>
      </c>
      <c r="D1" s="74" t="s">
        <v>194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t="s">
        <v>50</v>
      </c>
      <c r="AK1" t="s">
        <v>75</v>
      </c>
      <c r="AL1" t="s">
        <v>80</v>
      </c>
      <c r="AM1" t="s">
        <v>89</v>
      </c>
    </row>
    <row r="2" spans="1:39" x14ac:dyDescent="0.25">
      <c r="A2" s="130" t="s">
        <v>171</v>
      </c>
      <c r="B2" s="130" t="s">
        <v>60</v>
      </c>
      <c r="C2" s="130">
        <v>1</v>
      </c>
      <c r="D2" s="130">
        <f>Table112348[[#This Row],[a (mm)]]/Table112348[[#This Row],[d (mm)]]</f>
        <v>2.2857142857142856</v>
      </c>
      <c r="E2" s="130">
        <v>266.88</v>
      </c>
      <c r="F2" s="127">
        <f>Table112348[[#This Row],[d (mm)]]</f>
        <v>666.75</v>
      </c>
      <c r="G2" s="110">
        <f t="shared" ref="G2:G36" si="0">E2*Y2</f>
        <v>406725.12</v>
      </c>
      <c r="H2" s="110">
        <f t="shared" ref="H2:H36" si="1">G2/($AK$5*AH2*0.001)</f>
        <v>7.2657202025453848E-7</v>
      </c>
      <c r="I2" s="110">
        <f>G2/(Table112348[[#This Row],[b (mm)]]*Z2^2)</f>
        <v>1.5966220961244936E-3</v>
      </c>
      <c r="J2" s="110">
        <f t="shared" ref="J2:J36" si="2">G2/(AD2*AF2*Z2*0.001)</f>
        <v>0.26607580098433875</v>
      </c>
      <c r="K2" s="110">
        <f t="shared" ref="K2:K36" si="3">E2/($AK$4*AG2*0.001)</f>
        <v>1.7973365298681257E-7</v>
      </c>
      <c r="L2" s="110">
        <f>E2/(Table112348[[#This Row],[b (mm)]]*Z2)</f>
        <v>6.98522167054466E-4</v>
      </c>
      <c r="M2" s="110">
        <f>Table112348[[#This Row],[M (KN.mm)]]/(Table112348[[#This Row],[b (mm)]]*Table112348[[#This Row],[d (mm)]])</f>
        <v>1.0645477825910061</v>
      </c>
      <c r="N2" s="110">
        <f>Table112348[[#This Row],[M (KN.mm)]]/(Table112348[[#This Row],[b (mm)]]*Table112348[[#This Row],[h (mm)]])</f>
        <v>0.92962006962787469</v>
      </c>
      <c r="O2" s="110">
        <f>Table112348[[#This Row],[M (KN.mm)]]/(Table112348[[#This Row],[b (mm)]]*Table112348[[#This Row],[h (mm)]]*Table112348[[#This Row],[L(mm)]])</f>
        <v>3.0479346545176218E-4</v>
      </c>
      <c r="P2" s="110">
        <f>Table112348[[#This Row],[M (KN.mm)]]/(Table112348[[#This Row],[b (mm)]]*Table112348[[#This Row],[d (mm)]]*Table112348[[#This Row],[L(mm)]])</f>
        <v>3.4903205986590367E-4</v>
      </c>
      <c r="Q2" s="110">
        <f>Table112348[[#This Row],[M (KN.mm)]]/(Table112348[[#This Row],[b (mm)]]*Table112348[[#This Row],[h (mm)]]*Table112348[[#This Row],[L(mm)]]*Table112348[[#This Row],[fc (Mpa)]])</f>
        <v>1.1043241501875441E-5</v>
      </c>
      <c r="R2" s="110">
        <f>Table112348[[#This Row],[M (KN.mm)]]/(Table112348[[#This Row],[b (mm)]]*Table112348[[#This Row],[h (mm)]]*Table112348[[#This Row],[L(mm)]]/2)</f>
        <v>6.0958693090352436E-4</v>
      </c>
      <c r="S2" s="110">
        <f>Table112348[[#This Row],[M (KN.mm)]]/(Table112348[[#This Row],[a (mm)]]*Table112348[[#This Row],[b (mm)]]*Table112348[[#This Row],[h (mm)]]*Table112348[[#This Row],[L(mm)]]/2)</f>
        <v>3.9999142447737819E-7</v>
      </c>
      <c r="T2" s="110">
        <f>G2/($AK$5*AH2*0.001*Table112348[[#This Row],[pho (%)]])</f>
        <v>9.1971141804371958E-7</v>
      </c>
      <c r="U2" s="110">
        <f>Table112348[[#This Row],[M (KN.mm)]]/(Table112348[[#This Row],[b (mm)]]*Table112348[[#This Row],[d (mm)]]*Table112348[[#This Row],[pho (%)]])</f>
        <v>1.3475288387227924</v>
      </c>
      <c r="V2" s="110">
        <f>E2*224.8/(2*SQRT(Table112348[[#This Row],[fc (Mpa)]]*145.037)*Table112348[[#This Row],[b (mm)]]*Table112348[[#This Row],[d (mm)]]*(1/25.4)^2)</f>
        <v>0.80060812283504146</v>
      </c>
      <c r="W2" s="110">
        <f>Table112348[[#This Row],[M (KN.mm)]]/$G$10</f>
        <v>0.31578947368421051</v>
      </c>
      <c r="X2" s="110">
        <f t="shared" ref="X2:X33" si="4">V2</f>
        <v>0.80060812283504146</v>
      </c>
      <c r="Y2" s="110">
        <f t="shared" ref="Y2:Y23" si="5">60*25.4</f>
        <v>1524</v>
      </c>
      <c r="Z2" s="110">
        <f>26.25*25.4</f>
        <v>666.75</v>
      </c>
      <c r="AA2" s="110">
        <f>30.06*25.4</f>
        <v>763.52399999999989</v>
      </c>
      <c r="AB2" s="110">
        <f t="shared" ref="AB2:AB23" si="6">22.56*25.4</f>
        <v>573.02399999999989</v>
      </c>
      <c r="AC2" s="7">
        <v>27.6</v>
      </c>
      <c r="AD2" s="110">
        <f>Table112348[[#This Row],[pho (%)]]/100*Table112348[[#This Row],[b (mm)]]*Table112348[[#This Row],[h (mm)]]</f>
        <v>3456.388854950399</v>
      </c>
      <c r="AE2" s="111">
        <v>0.79</v>
      </c>
      <c r="AF2" s="110">
        <v>663.3</v>
      </c>
      <c r="AG2" s="110">
        <f>(1/3-0.21*(MIN(Table112348[[#This Row],[b (mm)]],AA2)/MAX(Table112348[[#This Row],[b (mm)]],AA2))*(MIN(Table112348[[#This Row],[b (mm)]],AA2)^4/(12*MAX(Table112348[[#This Row],[b (mm)]],AA2)^4)))*MAX(Table112348[[#This Row],[b (mm)]],AA2)*MIN(Table112348[[#This Row],[b (mm)]],AA2)^3</f>
        <v>47288656943.663506</v>
      </c>
      <c r="AH2" s="110">
        <f>Table112348[[#This Row],[b (mm)]]*AA2^3/12</f>
        <v>21254928310.34594</v>
      </c>
      <c r="AI2" s="110">
        <v>3050</v>
      </c>
      <c r="AJ2" s="106" t="s">
        <v>22</v>
      </c>
      <c r="AK2" s="107">
        <v>1250</v>
      </c>
    </row>
    <row r="3" spans="1:39" x14ac:dyDescent="0.25">
      <c r="A3" s="130" t="s">
        <v>171</v>
      </c>
      <c r="B3" s="130" t="s">
        <v>61</v>
      </c>
      <c r="C3" s="130">
        <v>2</v>
      </c>
      <c r="D3" s="130">
        <f>Table112348[[#This Row],[a (mm)]]/Table112348[[#This Row],[d (mm)]]</f>
        <v>2.2857142857142856</v>
      </c>
      <c r="E3" s="130">
        <v>311.36</v>
      </c>
      <c r="F3" s="127">
        <f>Table112348[[#This Row],[d (mm)]]</f>
        <v>666.75</v>
      </c>
      <c r="G3" s="110">
        <f t="shared" si="0"/>
        <v>474512.64000000001</v>
      </c>
      <c r="H3" s="110">
        <f t="shared" si="1"/>
        <v>8.4766735696362831E-7</v>
      </c>
      <c r="I3" s="110">
        <f>G3/(Table112348[[#This Row],[b (mm)]]*Z3^2)</f>
        <v>1.8627257788119095E-3</v>
      </c>
      <c r="J3" s="110">
        <f t="shared" si="2"/>
        <v>0.31042176781506192</v>
      </c>
      <c r="K3" s="110">
        <f t="shared" si="3"/>
        <v>2.0968926181794802E-7</v>
      </c>
      <c r="L3" s="110">
        <f>E3/(Table112348[[#This Row],[b (mm)]]*Z3)</f>
        <v>8.1494252823021036E-4</v>
      </c>
      <c r="M3" s="110">
        <f>Table112348[[#This Row],[M (KN.mm)]]/(Table112348[[#This Row],[b (mm)]]*Table112348[[#This Row],[d (mm)]])</f>
        <v>1.2419724130228404</v>
      </c>
      <c r="N3" s="110">
        <f>Table112348[[#This Row],[M (KN.mm)]]/(Table112348[[#This Row],[b (mm)]]*Table112348[[#This Row],[h (mm)]])</f>
        <v>1.0845567478991873</v>
      </c>
      <c r="O3" s="110">
        <f>Table112348[[#This Row],[M (KN.mm)]]/(Table112348[[#This Row],[b (mm)]]*Table112348[[#This Row],[h (mm)]]*Table112348[[#This Row],[L(mm)]])</f>
        <v>3.555923763603892E-4</v>
      </c>
      <c r="P3" s="110">
        <f>Table112348[[#This Row],[M (KN.mm)]]/(Table112348[[#This Row],[b (mm)]]*Table112348[[#This Row],[d (mm)]]*Table112348[[#This Row],[L(mm)]])</f>
        <v>4.0720406984355432E-4</v>
      </c>
      <c r="Q3" s="110">
        <f>Table112348[[#This Row],[M (KN.mm)]]/(Table112348[[#This Row],[b (mm)]]*Table112348[[#This Row],[h (mm)]]*Table112348[[#This Row],[L(mm)]]*Table112348[[#This Row],[fc (Mpa)]])</f>
        <v>1.2883781752188015E-5</v>
      </c>
      <c r="R3" s="110">
        <f>Table112348[[#This Row],[M (KN.mm)]]/(Table112348[[#This Row],[b (mm)]]*Table112348[[#This Row],[h (mm)]]*Table112348[[#This Row],[L(mm)]]/2)</f>
        <v>7.1118475272077841E-4</v>
      </c>
      <c r="S3" s="110">
        <f>Table112348[[#This Row],[M (KN.mm)]]/(Table112348[[#This Row],[a (mm)]]*Table112348[[#This Row],[b (mm)]]*Table112348[[#This Row],[h (mm)]]*Table112348[[#This Row],[L(mm)]]/2)</f>
        <v>4.6665666189027454E-7</v>
      </c>
      <c r="T3" s="110">
        <f>G3/($AK$5*AH3*0.001*Table112348[[#This Row],[pho (%)]])</f>
        <v>1.0729966543843396E-6</v>
      </c>
      <c r="U3" s="110">
        <f>Table112348[[#This Row],[M (KN.mm)]]/(Table112348[[#This Row],[b (mm)]]*Table112348[[#This Row],[d (mm)]]*Table112348[[#This Row],[pho (%)]])</f>
        <v>1.5721169785099245</v>
      </c>
      <c r="V3" s="110">
        <f>E3*224.8/(2*SQRT(Table112348[[#This Row],[fc (Mpa)]]*145.037)*Table112348[[#This Row],[b (mm)]]*Table112348[[#This Row],[d (mm)]]*(1/25.4)^2)</f>
        <v>0.93404280997421507</v>
      </c>
      <c r="W3" s="110">
        <f>Table112348[[#This Row],[M (KN.mm)]]/$G$10</f>
        <v>0.36842105263157893</v>
      </c>
      <c r="X3" s="110">
        <f t="shared" si="4"/>
        <v>0.93404280997421507</v>
      </c>
      <c r="Y3" s="110">
        <f t="shared" si="5"/>
        <v>1524</v>
      </c>
      <c r="Z3" s="110">
        <f t="shared" ref="Z3:Z23" si="7">26.25*25.4</f>
        <v>666.75</v>
      </c>
      <c r="AA3" s="110">
        <f t="shared" ref="AA3:AA23" si="8">30.06*25.4</f>
        <v>763.52399999999989</v>
      </c>
      <c r="AB3" s="110">
        <f t="shared" si="6"/>
        <v>573.02399999999989</v>
      </c>
      <c r="AC3" s="7">
        <v>27.6</v>
      </c>
      <c r="AD3" s="110">
        <f>Table112348[[#This Row],[pho (%)]]/100*Table112348[[#This Row],[b (mm)]]*Table112348[[#This Row],[h (mm)]]</f>
        <v>3456.388854950399</v>
      </c>
      <c r="AE3" s="111">
        <v>0.79</v>
      </c>
      <c r="AF3" s="110">
        <v>663.3</v>
      </c>
      <c r="AG3" s="110">
        <f>(1/3-0.21*(MIN(Table112348[[#This Row],[b (mm)]],AA3)/MAX(Table112348[[#This Row],[b (mm)]],AA3))*(MIN(Table112348[[#This Row],[b (mm)]],AA3)^4/(12*MAX(Table112348[[#This Row],[b (mm)]],AA3)^4)))*MAX(Table112348[[#This Row],[b (mm)]],AA3)*MIN(Table112348[[#This Row],[b (mm)]],AA3)^3</f>
        <v>47288656943.663506</v>
      </c>
      <c r="AH3" s="110">
        <f>Table112348[[#This Row],[b (mm)]]*AA3^3/12</f>
        <v>21254928310.34594</v>
      </c>
      <c r="AI3" s="110">
        <v>3050</v>
      </c>
      <c r="AJ3" s="106" t="s">
        <v>6</v>
      </c>
      <c r="AK3" s="107">
        <v>200</v>
      </c>
    </row>
    <row r="4" spans="1:39" x14ac:dyDescent="0.25">
      <c r="A4" s="130" t="s">
        <v>171</v>
      </c>
      <c r="B4" s="130" t="s">
        <v>62</v>
      </c>
      <c r="C4" s="130">
        <v>3</v>
      </c>
      <c r="D4" s="130">
        <f>Table112348[[#This Row],[a (mm)]]/Table112348[[#This Row],[d (mm)]]</f>
        <v>2.2857142857142856</v>
      </c>
      <c r="E4" s="130">
        <v>355.84000000000003</v>
      </c>
      <c r="F4" s="127">
        <f>Table112348[[#This Row],[d (mm)]]</f>
        <v>666.75</v>
      </c>
      <c r="G4" s="110">
        <f t="shared" si="0"/>
        <v>542300.16000000003</v>
      </c>
      <c r="H4" s="110">
        <f t="shared" si="1"/>
        <v>9.6876269367271804E-7</v>
      </c>
      <c r="I4" s="110">
        <f>G4/(Table112348[[#This Row],[b (mm)]]*Z4^2)</f>
        <v>2.1288294614993249E-3</v>
      </c>
      <c r="J4" s="110">
        <f t="shared" si="2"/>
        <v>0.35476773464578504</v>
      </c>
      <c r="K4" s="110">
        <f t="shared" si="3"/>
        <v>2.3964487064908344E-7</v>
      </c>
      <c r="L4" s="110">
        <f>E4/(Table112348[[#This Row],[b (mm)]]*Z4)</f>
        <v>9.3136288940595473E-4</v>
      </c>
      <c r="M4" s="110">
        <f>Table112348[[#This Row],[M (KN.mm)]]/(Table112348[[#This Row],[b (mm)]]*Table112348[[#This Row],[d (mm)]])</f>
        <v>1.419397043454675</v>
      </c>
      <c r="N4" s="110">
        <f>Table112348[[#This Row],[M (KN.mm)]]/(Table112348[[#This Row],[b (mm)]]*Table112348[[#This Row],[h (mm)]])</f>
        <v>1.2394934261704997</v>
      </c>
      <c r="O4" s="110">
        <f>Table112348[[#This Row],[M (KN.mm)]]/(Table112348[[#This Row],[b (mm)]]*Table112348[[#This Row],[h (mm)]]*Table112348[[#This Row],[L(mm)]])</f>
        <v>4.0639128726901628E-4</v>
      </c>
      <c r="P4" s="110">
        <f>Table112348[[#This Row],[M (KN.mm)]]/(Table112348[[#This Row],[b (mm)]]*Table112348[[#This Row],[d (mm)]]*Table112348[[#This Row],[L(mm)]])</f>
        <v>4.6537607982120491E-4</v>
      </c>
      <c r="Q4" s="110">
        <f>Table112348[[#This Row],[M (KN.mm)]]/(Table112348[[#This Row],[b (mm)]]*Table112348[[#This Row],[h (mm)]]*Table112348[[#This Row],[L(mm)]]*Table112348[[#This Row],[fc (Mpa)]])</f>
        <v>1.4724322002500589E-5</v>
      </c>
      <c r="R4" s="110">
        <f>Table112348[[#This Row],[M (KN.mm)]]/(Table112348[[#This Row],[b (mm)]]*Table112348[[#This Row],[h (mm)]]*Table112348[[#This Row],[L(mm)]]/2)</f>
        <v>8.1278257453803256E-4</v>
      </c>
      <c r="S4" s="110">
        <f>Table112348[[#This Row],[M (KN.mm)]]/(Table112348[[#This Row],[a (mm)]]*Table112348[[#This Row],[b (mm)]]*Table112348[[#This Row],[h (mm)]]*Table112348[[#This Row],[L(mm)]]/2)</f>
        <v>5.3332189930317095E-7</v>
      </c>
      <c r="T4" s="110">
        <f>G4/($AK$5*AH4*0.001*Table112348[[#This Row],[pho (%)]])</f>
        <v>1.2262818907249594E-6</v>
      </c>
      <c r="U4" s="110">
        <f>Table112348[[#This Row],[M (KN.mm)]]/(Table112348[[#This Row],[b (mm)]]*Table112348[[#This Row],[d (mm)]]*Table112348[[#This Row],[pho (%)]])</f>
        <v>1.7967051182970566</v>
      </c>
      <c r="V4" s="110">
        <f>E4*224.8/(2*SQRT(Table112348[[#This Row],[fc (Mpa)]]*145.037)*Table112348[[#This Row],[b (mm)]]*Table112348[[#This Row],[d (mm)]]*(1/25.4)^2)</f>
        <v>1.0674774971133887</v>
      </c>
      <c r="W4" s="110">
        <f>Table112348[[#This Row],[M (KN.mm)]]/$G$10</f>
        <v>0.42105263157894735</v>
      </c>
      <c r="X4" s="110">
        <f t="shared" si="4"/>
        <v>1.0674774971133887</v>
      </c>
      <c r="Y4" s="110">
        <f t="shared" si="5"/>
        <v>1524</v>
      </c>
      <c r="Z4" s="110">
        <f t="shared" si="7"/>
        <v>666.75</v>
      </c>
      <c r="AA4" s="110">
        <f t="shared" si="8"/>
        <v>763.52399999999989</v>
      </c>
      <c r="AB4" s="110">
        <f t="shared" si="6"/>
        <v>573.02399999999989</v>
      </c>
      <c r="AC4" s="7">
        <v>27.6</v>
      </c>
      <c r="AD4" s="110">
        <f>Table112348[[#This Row],[pho (%)]]/100*Table112348[[#This Row],[b (mm)]]*Table112348[[#This Row],[h (mm)]]</f>
        <v>3456.388854950399</v>
      </c>
      <c r="AE4" s="111">
        <v>0.79</v>
      </c>
      <c r="AF4" s="110">
        <v>663.3</v>
      </c>
      <c r="AG4" s="110">
        <f>(1/3-0.21*(MIN(Table112348[[#This Row],[b (mm)]],AA4)/MAX(Table112348[[#This Row],[b (mm)]],AA4))*(MIN(Table112348[[#This Row],[b (mm)]],AA4)^4/(12*MAX(Table112348[[#This Row],[b (mm)]],AA4)^4)))*MAX(Table112348[[#This Row],[b (mm)]],AA4)*MIN(Table112348[[#This Row],[b (mm)]],AA4)^3</f>
        <v>47288656943.663506</v>
      </c>
      <c r="AH4" s="110">
        <f>Table112348[[#This Row],[b (mm)]]*AA4^3/12</f>
        <v>21254928310.34594</v>
      </c>
      <c r="AI4" s="110">
        <v>3050</v>
      </c>
      <c r="AJ4" s="106" t="s">
        <v>7</v>
      </c>
      <c r="AK4" s="107">
        <v>31.4</v>
      </c>
    </row>
    <row r="5" spans="1:39" x14ac:dyDescent="0.25">
      <c r="A5" s="130" t="s">
        <v>171</v>
      </c>
      <c r="B5" s="130" t="s">
        <v>63</v>
      </c>
      <c r="C5" s="130">
        <v>4</v>
      </c>
      <c r="D5" s="130">
        <f>Table112348[[#This Row],[a (mm)]]/Table112348[[#This Row],[d (mm)]]</f>
        <v>2.2857142857142856</v>
      </c>
      <c r="E5" s="130">
        <v>400.32000000000005</v>
      </c>
      <c r="F5" s="127">
        <f>Table112348[[#This Row],[d (mm)]]</f>
        <v>666.75</v>
      </c>
      <c r="G5" s="110">
        <f t="shared" si="0"/>
        <v>610087.68000000005</v>
      </c>
      <c r="H5" s="110">
        <f t="shared" si="1"/>
        <v>1.0898580303818079E-6</v>
      </c>
      <c r="I5" s="110">
        <f>G5/(Table112348[[#This Row],[b (mm)]]*Z5^2)</f>
        <v>2.3949331441867408E-3</v>
      </c>
      <c r="J5" s="110">
        <f t="shared" si="2"/>
        <v>0.39911370147650821</v>
      </c>
      <c r="K5" s="110">
        <f t="shared" si="3"/>
        <v>2.6960047948021889E-7</v>
      </c>
      <c r="L5" s="110">
        <f>E5/(Table112348[[#This Row],[b (mm)]]*Z5)</f>
        <v>1.0477832505816991E-3</v>
      </c>
      <c r="M5" s="110">
        <f>Table112348[[#This Row],[M (KN.mm)]]/(Table112348[[#This Row],[b (mm)]]*Table112348[[#This Row],[d (mm)]])</f>
        <v>1.5968216738865093</v>
      </c>
      <c r="N5" s="110">
        <f>Table112348[[#This Row],[M (KN.mm)]]/(Table112348[[#This Row],[b (mm)]]*Table112348[[#This Row],[h (mm)]])</f>
        <v>1.3944301044418121</v>
      </c>
      <c r="O5" s="110">
        <f>Table112348[[#This Row],[M (KN.mm)]]/(Table112348[[#This Row],[b (mm)]]*Table112348[[#This Row],[h (mm)]]*Table112348[[#This Row],[L(mm)]])</f>
        <v>4.571901981776433E-4</v>
      </c>
      <c r="P5" s="110">
        <f>Table112348[[#This Row],[M (KN.mm)]]/(Table112348[[#This Row],[b (mm)]]*Table112348[[#This Row],[d (mm)]]*Table112348[[#This Row],[L(mm)]])</f>
        <v>5.2354808979885551E-4</v>
      </c>
      <c r="Q5" s="110">
        <f>Table112348[[#This Row],[M (KN.mm)]]/(Table112348[[#This Row],[b (mm)]]*Table112348[[#This Row],[h (mm)]]*Table112348[[#This Row],[L(mm)]]*Table112348[[#This Row],[fc (Mpa)]])</f>
        <v>1.6564862252813162E-5</v>
      </c>
      <c r="R5" s="110">
        <f>Table112348[[#This Row],[M (KN.mm)]]/(Table112348[[#This Row],[b (mm)]]*Table112348[[#This Row],[h (mm)]]*Table112348[[#This Row],[L(mm)]]/2)</f>
        <v>9.143803963552866E-4</v>
      </c>
      <c r="S5" s="110">
        <f>Table112348[[#This Row],[M (KN.mm)]]/(Table112348[[#This Row],[a (mm)]]*Table112348[[#This Row],[b (mm)]]*Table112348[[#This Row],[h (mm)]]*Table112348[[#This Row],[L(mm)]]/2)</f>
        <v>5.9998713671606736E-7</v>
      </c>
      <c r="T5" s="110">
        <f>G5/($AK$5*AH5*0.001*Table112348[[#This Row],[pho (%)]])</f>
        <v>1.3795671270655794E-6</v>
      </c>
      <c r="U5" s="110">
        <f>Table112348[[#This Row],[M (KN.mm)]]/(Table112348[[#This Row],[b (mm)]]*Table112348[[#This Row],[d (mm)]]*Table112348[[#This Row],[pho (%)]])</f>
        <v>2.0212932580841887</v>
      </c>
      <c r="V5" s="110">
        <f>E5*224.8/(2*SQRT(Table112348[[#This Row],[fc (Mpa)]]*145.037)*Table112348[[#This Row],[b (mm)]]*Table112348[[#This Row],[d (mm)]]*(1/25.4)^2)</f>
        <v>1.2009121842525623</v>
      </c>
      <c r="W5" s="110">
        <f>Table112348[[#This Row],[M (KN.mm)]]/$G$10</f>
        <v>0.47368421052631576</v>
      </c>
      <c r="X5" s="110">
        <f t="shared" si="4"/>
        <v>1.2009121842525623</v>
      </c>
      <c r="Y5" s="110">
        <f t="shared" si="5"/>
        <v>1524</v>
      </c>
      <c r="Z5" s="110">
        <f t="shared" si="7"/>
        <v>666.75</v>
      </c>
      <c r="AA5" s="110">
        <f t="shared" si="8"/>
        <v>763.52399999999989</v>
      </c>
      <c r="AB5" s="110">
        <f t="shared" si="6"/>
        <v>573.02399999999989</v>
      </c>
      <c r="AC5" s="7">
        <v>27.6</v>
      </c>
      <c r="AD5" s="110">
        <f>Table112348[[#This Row],[pho (%)]]/100*Table112348[[#This Row],[b (mm)]]*Table112348[[#This Row],[h (mm)]]</f>
        <v>3456.388854950399</v>
      </c>
      <c r="AE5" s="111">
        <v>0.79</v>
      </c>
      <c r="AF5" s="110">
        <v>663.3</v>
      </c>
      <c r="AG5" s="110">
        <f>(1/3-0.21*(MIN(Table112348[[#This Row],[b (mm)]],AA5)/MAX(Table112348[[#This Row],[b (mm)]],AA5))*(MIN(Table112348[[#This Row],[b (mm)]],AA5)^4/(12*MAX(Table112348[[#This Row],[b (mm)]],AA5)^4)))*MAX(Table112348[[#This Row],[b (mm)]],AA5)*MIN(Table112348[[#This Row],[b (mm)]],AA5)^3</f>
        <v>47288656943.663506</v>
      </c>
      <c r="AH5" s="110">
        <f>Table112348[[#This Row],[b (mm)]]*AA5^3/12</f>
        <v>21254928310.34594</v>
      </c>
      <c r="AI5" s="110">
        <v>3050</v>
      </c>
      <c r="AJ5" s="106" t="s">
        <v>8</v>
      </c>
      <c r="AK5" s="107">
        <f>4700*SQRT(AK4)</f>
        <v>26336.780365109171</v>
      </c>
    </row>
    <row r="6" spans="1:39" x14ac:dyDescent="0.25">
      <c r="A6" s="130" t="s">
        <v>171</v>
      </c>
      <c r="B6" s="130" t="s">
        <v>64</v>
      </c>
      <c r="C6" s="130">
        <v>5</v>
      </c>
      <c r="D6" s="130">
        <f>Table112348[[#This Row],[a (mm)]]/Table112348[[#This Row],[d (mm)]]</f>
        <v>2.2857142857142856</v>
      </c>
      <c r="E6" s="130">
        <v>444.80000000000007</v>
      </c>
      <c r="F6" s="127">
        <f>Table112348[[#This Row],[d (mm)]]</f>
        <v>666.75</v>
      </c>
      <c r="G6" s="110">
        <f t="shared" si="0"/>
        <v>677875.20000000007</v>
      </c>
      <c r="H6" s="110">
        <f t="shared" si="1"/>
        <v>1.2109533670908977E-6</v>
      </c>
      <c r="I6" s="110">
        <f>G6/(Table112348[[#This Row],[b (mm)]]*Z6^2)</f>
        <v>2.6610368268741563E-3</v>
      </c>
      <c r="J6" s="110">
        <f t="shared" si="2"/>
        <v>0.44345966830723133</v>
      </c>
      <c r="K6" s="110">
        <f t="shared" si="3"/>
        <v>2.9955608831135434E-7</v>
      </c>
      <c r="L6" s="110">
        <f>E6/(Table112348[[#This Row],[b (mm)]]*Z6)</f>
        <v>1.1642036117574435E-3</v>
      </c>
      <c r="M6" s="110">
        <f>Table112348[[#This Row],[M (KN.mm)]]/(Table112348[[#This Row],[b (mm)]]*Table112348[[#This Row],[d (mm)]])</f>
        <v>1.7742463043183438</v>
      </c>
      <c r="N6" s="110">
        <f>Table112348[[#This Row],[M (KN.mm)]]/(Table112348[[#This Row],[b (mm)]]*Table112348[[#This Row],[h (mm)]])</f>
        <v>1.5493667827131248</v>
      </c>
      <c r="O6" s="110">
        <f>Table112348[[#This Row],[M (KN.mm)]]/(Table112348[[#This Row],[b (mm)]]*Table112348[[#This Row],[h (mm)]]*Table112348[[#This Row],[L(mm)]])</f>
        <v>5.0798910908627032E-4</v>
      </c>
      <c r="P6" s="110">
        <f>Table112348[[#This Row],[M (KN.mm)]]/(Table112348[[#This Row],[b (mm)]]*Table112348[[#This Row],[d (mm)]]*Table112348[[#This Row],[L(mm)]])</f>
        <v>5.8172009977650616E-4</v>
      </c>
      <c r="Q6" s="110">
        <f>Table112348[[#This Row],[M (KN.mm)]]/(Table112348[[#This Row],[b (mm)]]*Table112348[[#This Row],[h (mm)]]*Table112348[[#This Row],[L(mm)]]*Table112348[[#This Row],[fc (Mpa)]])</f>
        <v>1.8405402503125736E-5</v>
      </c>
      <c r="R6" s="110">
        <f>Table112348[[#This Row],[M (KN.mm)]]/(Table112348[[#This Row],[b (mm)]]*Table112348[[#This Row],[h (mm)]]*Table112348[[#This Row],[L(mm)]]/2)</f>
        <v>1.0159782181725406E-3</v>
      </c>
      <c r="S6" s="110">
        <f>Table112348[[#This Row],[M (KN.mm)]]/(Table112348[[#This Row],[a (mm)]]*Table112348[[#This Row],[b (mm)]]*Table112348[[#This Row],[h (mm)]]*Table112348[[#This Row],[L(mm)]]/2)</f>
        <v>6.6665237412896366E-7</v>
      </c>
      <c r="T6" s="110">
        <f>G6/($AK$5*AH6*0.001*Table112348[[#This Row],[pho (%)]])</f>
        <v>1.5328523634061994E-6</v>
      </c>
      <c r="U6" s="110">
        <f>Table112348[[#This Row],[M (KN.mm)]]/(Table112348[[#This Row],[b (mm)]]*Table112348[[#This Row],[d (mm)]]*Table112348[[#This Row],[pho (%)]])</f>
        <v>2.245881397871321</v>
      </c>
      <c r="V6" s="110">
        <f>E6*224.8/(2*SQRT(Table112348[[#This Row],[fc (Mpa)]]*145.037)*Table112348[[#This Row],[b (mm)]]*Table112348[[#This Row],[d (mm)]]*(1/25.4)^2)</f>
        <v>1.3343468713917359</v>
      </c>
      <c r="W6" s="110">
        <f>Table112348[[#This Row],[M (KN.mm)]]/$G$10</f>
        <v>0.52631578947368418</v>
      </c>
      <c r="X6" s="110">
        <f t="shared" si="4"/>
        <v>1.3343468713917359</v>
      </c>
      <c r="Y6" s="110">
        <f t="shared" si="5"/>
        <v>1524</v>
      </c>
      <c r="Z6" s="110">
        <f t="shared" si="7"/>
        <v>666.75</v>
      </c>
      <c r="AA6" s="110">
        <f t="shared" si="8"/>
        <v>763.52399999999989</v>
      </c>
      <c r="AB6" s="110">
        <f t="shared" si="6"/>
        <v>573.02399999999989</v>
      </c>
      <c r="AC6" s="7">
        <v>27.6</v>
      </c>
      <c r="AD6" s="110">
        <f>Table112348[[#This Row],[pho (%)]]/100*Table112348[[#This Row],[b (mm)]]*Table112348[[#This Row],[h (mm)]]</f>
        <v>3456.388854950399</v>
      </c>
      <c r="AE6" s="111">
        <v>0.79</v>
      </c>
      <c r="AF6" s="110">
        <v>663.3</v>
      </c>
      <c r="AG6" s="110">
        <f>(1/3-0.21*(MIN(Table112348[[#This Row],[b (mm)]],AA6)/MAX(Table112348[[#This Row],[b (mm)]],AA6))*(MIN(Table112348[[#This Row],[b (mm)]],AA6)^4/(12*MAX(Table112348[[#This Row],[b (mm)]],AA6)^4)))*MAX(Table112348[[#This Row],[b (mm)]],AA6)*MIN(Table112348[[#This Row],[b (mm)]],AA6)^3</f>
        <v>47288656943.663506</v>
      </c>
      <c r="AH6" s="110">
        <f>Table112348[[#This Row],[b (mm)]]*AA6^3/12</f>
        <v>21254928310.34594</v>
      </c>
      <c r="AI6" s="110">
        <v>3050</v>
      </c>
      <c r="AJ6" s="106" t="s">
        <v>16</v>
      </c>
      <c r="AK6" s="107">
        <f>AK5/(2*(1+0.15))</f>
        <v>11450.774071786596</v>
      </c>
    </row>
    <row r="7" spans="1:39" x14ac:dyDescent="0.25">
      <c r="A7" s="130" t="s">
        <v>171</v>
      </c>
      <c r="B7" s="130" t="s">
        <v>65</v>
      </c>
      <c r="C7" s="130">
        <v>6</v>
      </c>
      <c r="D7" s="130">
        <f>Table112348[[#This Row],[a (mm)]]/Table112348[[#This Row],[d (mm)]]</f>
        <v>2.2857142857142856</v>
      </c>
      <c r="E7" s="130">
        <v>489.28000000000003</v>
      </c>
      <c r="F7" s="127">
        <f>Table112348[[#This Row],[d (mm)]]</f>
        <v>666.75</v>
      </c>
      <c r="G7" s="110">
        <f t="shared" si="0"/>
        <v>745662.72000000009</v>
      </c>
      <c r="H7" s="110">
        <f t="shared" si="1"/>
        <v>1.3320487037999873E-6</v>
      </c>
      <c r="I7" s="110">
        <f>G7/(Table112348[[#This Row],[b (mm)]]*Z7^2)</f>
        <v>2.9271405095615721E-3</v>
      </c>
      <c r="J7" s="110">
        <f t="shared" si="2"/>
        <v>0.4878056351379545</v>
      </c>
      <c r="K7" s="110">
        <f t="shared" si="3"/>
        <v>3.2951169714248974E-7</v>
      </c>
      <c r="L7" s="110">
        <f>E7/(Table112348[[#This Row],[b (mm)]]*Z7)</f>
        <v>1.2806239729331876E-3</v>
      </c>
      <c r="M7" s="110">
        <f>Table112348[[#This Row],[M (KN.mm)]]/(Table112348[[#This Row],[b (mm)]]*Table112348[[#This Row],[d (mm)]])</f>
        <v>1.9516709347501782</v>
      </c>
      <c r="N7" s="110">
        <f>Table112348[[#This Row],[M (KN.mm)]]/(Table112348[[#This Row],[b (mm)]]*Table112348[[#This Row],[h (mm)]])</f>
        <v>1.7043034609844372</v>
      </c>
      <c r="O7" s="110">
        <f>Table112348[[#This Row],[M (KN.mm)]]/(Table112348[[#This Row],[b (mm)]]*Table112348[[#This Row],[h (mm)]]*Table112348[[#This Row],[L(mm)]])</f>
        <v>5.587880199948974E-4</v>
      </c>
      <c r="P7" s="110">
        <f>Table112348[[#This Row],[M (KN.mm)]]/(Table112348[[#This Row],[b (mm)]]*Table112348[[#This Row],[d (mm)]]*Table112348[[#This Row],[L(mm)]])</f>
        <v>6.398921097541568E-4</v>
      </c>
      <c r="Q7" s="110">
        <f>Table112348[[#This Row],[M (KN.mm)]]/(Table112348[[#This Row],[b (mm)]]*Table112348[[#This Row],[h (mm)]]*Table112348[[#This Row],[L(mm)]]*Table112348[[#This Row],[fc (Mpa)]])</f>
        <v>2.0245942753438311E-5</v>
      </c>
      <c r="R7" s="110">
        <f>Table112348[[#This Row],[M (KN.mm)]]/(Table112348[[#This Row],[b (mm)]]*Table112348[[#This Row],[h (mm)]]*Table112348[[#This Row],[L(mm)]]/2)</f>
        <v>1.1175760399897948E-3</v>
      </c>
      <c r="S7" s="110">
        <f>Table112348[[#This Row],[M (KN.mm)]]/(Table112348[[#This Row],[a (mm)]]*Table112348[[#This Row],[b (mm)]]*Table112348[[#This Row],[h (mm)]]*Table112348[[#This Row],[L(mm)]]/2)</f>
        <v>7.3331761154186007E-7</v>
      </c>
      <c r="T7" s="110">
        <f>G7/($AK$5*AH7*0.001*Table112348[[#This Row],[pho (%)]])</f>
        <v>1.6861375997468194E-6</v>
      </c>
      <c r="U7" s="110">
        <f>Table112348[[#This Row],[M (KN.mm)]]/(Table112348[[#This Row],[b (mm)]]*Table112348[[#This Row],[d (mm)]]*Table112348[[#This Row],[pho (%)]])</f>
        <v>2.4704695376584529</v>
      </c>
      <c r="V7" s="110">
        <f>E7*224.8/(2*SQRT(Table112348[[#This Row],[fc (Mpa)]]*145.037)*Table112348[[#This Row],[b (mm)]]*Table112348[[#This Row],[d (mm)]]*(1/25.4)^2)</f>
        <v>1.4677815585309095</v>
      </c>
      <c r="W7" s="110">
        <f>Table112348[[#This Row],[M (KN.mm)]]/$G$10</f>
        <v>0.57894736842105265</v>
      </c>
      <c r="X7" s="110">
        <f t="shared" si="4"/>
        <v>1.4677815585309095</v>
      </c>
      <c r="Y7" s="110">
        <f t="shared" si="5"/>
        <v>1524</v>
      </c>
      <c r="Z7" s="110">
        <f t="shared" si="7"/>
        <v>666.75</v>
      </c>
      <c r="AA7" s="110">
        <f t="shared" si="8"/>
        <v>763.52399999999989</v>
      </c>
      <c r="AB7" s="110">
        <f t="shared" si="6"/>
        <v>573.02399999999989</v>
      </c>
      <c r="AC7" s="7">
        <v>27.6</v>
      </c>
      <c r="AD7" s="110">
        <f>Table112348[[#This Row],[pho (%)]]/100*Table112348[[#This Row],[b (mm)]]*Table112348[[#This Row],[h (mm)]]</f>
        <v>3456.388854950399</v>
      </c>
      <c r="AE7" s="111">
        <v>0.79</v>
      </c>
      <c r="AF7" s="110">
        <v>663.3</v>
      </c>
      <c r="AG7" s="110">
        <f>(1/3-0.21*(MIN(Table112348[[#This Row],[b (mm)]],AA7)/MAX(Table112348[[#This Row],[b (mm)]],AA7))*(MIN(Table112348[[#This Row],[b (mm)]],AA7)^4/(12*MAX(Table112348[[#This Row],[b (mm)]],AA7)^4)))*MAX(Table112348[[#This Row],[b (mm)]],AA7)*MIN(Table112348[[#This Row],[b (mm)]],AA7)^3</f>
        <v>47288656943.663506</v>
      </c>
      <c r="AH7" s="110">
        <f>Table112348[[#This Row],[b (mm)]]*AA7^3/12</f>
        <v>21254928310.34594</v>
      </c>
      <c r="AI7" s="110">
        <v>3050</v>
      </c>
      <c r="AJ7" s="106"/>
      <c r="AK7" s="107"/>
    </row>
    <row r="8" spans="1:39" x14ac:dyDescent="0.25">
      <c r="A8" s="130" t="s">
        <v>171</v>
      </c>
      <c r="B8" s="130" t="s">
        <v>66</v>
      </c>
      <c r="C8" s="130">
        <v>7</v>
      </c>
      <c r="D8" s="130">
        <f>Table112348[[#This Row],[a (mm)]]/Table112348[[#This Row],[d (mm)]]</f>
        <v>2.2857142857142856</v>
      </c>
      <c r="E8" s="130">
        <v>533.76</v>
      </c>
      <c r="F8" s="127">
        <f>Table112348[[#This Row],[d (mm)]]</f>
        <v>666.75</v>
      </c>
      <c r="G8" s="110">
        <f t="shared" si="0"/>
        <v>813450.23999999999</v>
      </c>
      <c r="H8" s="110">
        <f t="shared" si="1"/>
        <v>1.453144040509077E-6</v>
      </c>
      <c r="I8" s="110">
        <f>G8/(Table112348[[#This Row],[b (mm)]]*Z8^2)</f>
        <v>3.1932441922489872E-3</v>
      </c>
      <c r="J8" s="110">
        <f t="shared" si="2"/>
        <v>0.5321516019686775</v>
      </c>
      <c r="K8" s="110">
        <f t="shared" si="3"/>
        <v>3.5946730597362514E-7</v>
      </c>
      <c r="L8" s="110">
        <f>E8/(Table112348[[#This Row],[b (mm)]]*Z8)</f>
        <v>1.397044334108932E-3</v>
      </c>
      <c r="M8" s="110">
        <f>Table112348[[#This Row],[M (KN.mm)]]/(Table112348[[#This Row],[b (mm)]]*Table112348[[#This Row],[d (mm)]])</f>
        <v>2.1290955651820123</v>
      </c>
      <c r="N8" s="110">
        <f>Table112348[[#This Row],[M (KN.mm)]]/(Table112348[[#This Row],[b (mm)]]*Table112348[[#This Row],[h (mm)]])</f>
        <v>1.8592401392557494</v>
      </c>
      <c r="O8" s="110">
        <f>Table112348[[#This Row],[M (KN.mm)]]/(Table112348[[#This Row],[b (mm)]]*Table112348[[#This Row],[h (mm)]]*Table112348[[#This Row],[L(mm)]])</f>
        <v>6.0958693090352436E-4</v>
      </c>
      <c r="P8" s="110">
        <f>Table112348[[#This Row],[M (KN.mm)]]/(Table112348[[#This Row],[b (mm)]]*Table112348[[#This Row],[d (mm)]]*Table112348[[#This Row],[L(mm)]])</f>
        <v>6.9806411973180734E-4</v>
      </c>
      <c r="Q8" s="110">
        <f>Table112348[[#This Row],[M (KN.mm)]]/(Table112348[[#This Row],[b (mm)]]*Table112348[[#This Row],[h (mm)]]*Table112348[[#This Row],[L(mm)]]*Table112348[[#This Row],[fc (Mpa)]])</f>
        <v>2.2086483003750882E-5</v>
      </c>
      <c r="R8" s="110">
        <f>Table112348[[#This Row],[M (KN.mm)]]/(Table112348[[#This Row],[b (mm)]]*Table112348[[#This Row],[h (mm)]]*Table112348[[#This Row],[L(mm)]]/2)</f>
        <v>1.2191738618070487E-3</v>
      </c>
      <c r="S8" s="110">
        <f>Table112348[[#This Row],[M (KN.mm)]]/(Table112348[[#This Row],[a (mm)]]*Table112348[[#This Row],[b (mm)]]*Table112348[[#This Row],[h (mm)]]*Table112348[[#This Row],[L(mm)]]/2)</f>
        <v>7.9998284895475638E-7</v>
      </c>
      <c r="T8" s="110">
        <f>G8/($AK$5*AH8*0.001*Table112348[[#This Row],[pho (%)]])</f>
        <v>1.8394228360874392E-6</v>
      </c>
      <c r="U8" s="110">
        <f>Table112348[[#This Row],[M (KN.mm)]]/(Table112348[[#This Row],[b (mm)]]*Table112348[[#This Row],[d (mm)]]*Table112348[[#This Row],[pho (%)]])</f>
        <v>2.6950576774455848</v>
      </c>
      <c r="V8" s="110">
        <f>E8*224.8/(2*SQRT(Table112348[[#This Row],[fc (Mpa)]]*145.037)*Table112348[[#This Row],[b (mm)]]*Table112348[[#This Row],[d (mm)]]*(1/25.4)^2)</f>
        <v>1.6012162456700829</v>
      </c>
      <c r="W8" s="110">
        <f>Table112348[[#This Row],[M (KN.mm)]]/$G$10</f>
        <v>0.63157894736842102</v>
      </c>
      <c r="X8" s="110">
        <f t="shared" si="4"/>
        <v>1.6012162456700829</v>
      </c>
      <c r="Y8" s="110">
        <f t="shared" si="5"/>
        <v>1524</v>
      </c>
      <c r="Z8" s="110">
        <f t="shared" si="7"/>
        <v>666.75</v>
      </c>
      <c r="AA8" s="110">
        <f t="shared" si="8"/>
        <v>763.52399999999989</v>
      </c>
      <c r="AB8" s="110">
        <f t="shared" si="6"/>
        <v>573.02399999999989</v>
      </c>
      <c r="AC8" s="7">
        <v>27.6</v>
      </c>
      <c r="AD8" s="110">
        <f>Table112348[[#This Row],[pho (%)]]/100*Table112348[[#This Row],[b (mm)]]*Table112348[[#This Row],[h (mm)]]</f>
        <v>3456.388854950399</v>
      </c>
      <c r="AE8" s="111">
        <v>0.79</v>
      </c>
      <c r="AF8" s="110">
        <v>663.3</v>
      </c>
      <c r="AG8" s="110">
        <f>(1/3-0.21*(MIN(Table112348[[#This Row],[b (mm)]],AA8)/MAX(Table112348[[#This Row],[b (mm)]],AA8))*(MIN(Table112348[[#This Row],[b (mm)]],AA8)^4/(12*MAX(Table112348[[#This Row],[b (mm)]],AA8)^4)))*MAX(Table112348[[#This Row],[b (mm)]],AA8)*MIN(Table112348[[#This Row],[b (mm)]],AA8)^3</f>
        <v>47288656943.663506</v>
      </c>
      <c r="AH8" s="110">
        <f>Table112348[[#This Row],[b (mm)]]*AA8^3/12</f>
        <v>21254928310.34594</v>
      </c>
      <c r="AI8" s="110">
        <v>3050</v>
      </c>
      <c r="AJ8" s="106"/>
      <c r="AK8" s="107"/>
    </row>
    <row r="9" spans="1:39" x14ac:dyDescent="0.25">
      <c r="A9" s="130" t="s">
        <v>171</v>
      </c>
      <c r="B9" s="130" t="s">
        <v>67</v>
      </c>
      <c r="C9" s="130">
        <v>8</v>
      </c>
      <c r="D9" s="130">
        <f>Table112348[[#This Row],[a (mm)]]/Table112348[[#This Row],[d (mm)]]</f>
        <v>2.2857142857142856</v>
      </c>
      <c r="E9" s="130">
        <v>578.24</v>
      </c>
      <c r="F9" s="127">
        <f>Table112348[[#This Row],[d (mm)]]</f>
        <v>666.75</v>
      </c>
      <c r="G9" s="110">
        <f t="shared" si="0"/>
        <v>881237.76</v>
      </c>
      <c r="H9" s="110">
        <f t="shared" si="1"/>
        <v>1.5742393772181668E-6</v>
      </c>
      <c r="I9" s="110">
        <f>G9/(Table112348[[#This Row],[b (mm)]]*Z9^2)</f>
        <v>3.459347874936403E-3</v>
      </c>
      <c r="J9" s="110">
        <f t="shared" si="2"/>
        <v>0.60793455864013102</v>
      </c>
      <c r="K9" s="110">
        <f t="shared" si="3"/>
        <v>3.8942291480476059E-7</v>
      </c>
      <c r="L9" s="110">
        <f>E9/(Table112348[[#This Row],[b (mm)]]*Z9)</f>
        <v>1.5134646952846764E-3</v>
      </c>
      <c r="M9" s="110">
        <f>Table112348[[#This Row],[M (KN.mm)]]/(Table112348[[#This Row],[b (mm)]]*Table112348[[#This Row],[d (mm)]])</f>
        <v>2.3065201956138468</v>
      </c>
      <c r="N9" s="110">
        <f>Table112348[[#This Row],[M (KN.mm)]]/(Table112348[[#This Row],[b (mm)]]*Table112348[[#This Row],[h (mm)]])</f>
        <v>2.014176817527062</v>
      </c>
      <c r="O9" s="110">
        <f>Table112348[[#This Row],[M (KN.mm)]]/(Table112348[[#This Row],[b (mm)]]*Table112348[[#This Row],[h (mm)]]*Table112348[[#This Row],[L(mm)]])</f>
        <v>6.6038584181215144E-4</v>
      </c>
      <c r="P9" s="110">
        <f>Table112348[[#This Row],[M (KN.mm)]]/(Table112348[[#This Row],[b (mm)]]*Table112348[[#This Row],[d (mm)]]*Table112348[[#This Row],[L(mm)]])</f>
        <v>7.5623612970945799E-4</v>
      </c>
      <c r="Q9" s="110">
        <f>Table112348[[#This Row],[M (KN.mm)]]/(Table112348[[#This Row],[b (mm)]]*Table112348[[#This Row],[h (mm)]]*Table112348[[#This Row],[L(mm)]]*Table112348[[#This Row],[fc (Mpa)]])</f>
        <v>2.3927023254063456E-5</v>
      </c>
      <c r="R9" s="110">
        <f>Table112348[[#This Row],[M (KN.mm)]]/(Table112348[[#This Row],[b (mm)]]*Table112348[[#This Row],[h (mm)]]*Table112348[[#This Row],[L(mm)]]/2)</f>
        <v>1.3207716836243029E-3</v>
      </c>
      <c r="S9" s="110">
        <f>Table112348[[#This Row],[M (KN.mm)]]/(Table112348[[#This Row],[a (mm)]]*Table112348[[#This Row],[b (mm)]]*Table112348[[#This Row],[h (mm)]]*Table112348[[#This Row],[L(mm)]]/2)</f>
        <v>8.6664808636765278E-7</v>
      </c>
      <c r="T9" s="110">
        <f>G9/($AK$5*AH9*0.001*Table112348[[#This Row],[pho (%)]])</f>
        <v>1.9927080724280592E-6</v>
      </c>
      <c r="U9" s="110">
        <f>Table112348[[#This Row],[M (KN.mm)]]/(Table112348[[#This Row],[b (mm)]]*Table112348[[#This Row],[d (mm)]]*Table112348[[#This Row],[pho (%)]])</f>
        <v>2.9196458172327171</v>
      </c>
      <c r="V9" s="110">
        <f>E9*224.8/(2*SQRT(Table112348[[#This Row],[fc (Mpa)]]*145.037)*Table112348[[#This Row],[b (mm)]]*Table112348[[#This Row],[d (mm)]]*(1/25.4)^2)</f>
        <v>1.7346509328092565</v>
      </c>
      <c r="W9" s="110">
        <f>Table112348[[#This Row],[M (KN.mm)]]/$G$10</f>
        <v>0.68421052631578938</v>
      </c>
      <c r="X9" s="110">
        <f t="shared" si="4"/>
        <v>1.7346509328092565</v>
      </c>
      <c r="Y9" s="110">
        <f t="shared" si="5"/>
        <v>1524</v>
      </c>
      <c r="Z9" s="110">
        <f t="shared" si="7"/>
        <v>666.75</v>
      </c>
      <c r="AA9" s="110">
        <f t="shared" si="8"/>
        <v>763.52399999999989</v>
      </c>
      <c r="AB9" s="110">
        <f t="shared" si="6"/>
        <v>573.02399999999989</v>
      </c>
      <c r="AC9" s="7">
        <v>27.6</v>
      </c>
      <c r="AD9" s="110">
        <f>Table112348[[#This Row],[pho (%)]]/100*Table112348[[#This Row],[b (mm)]]*Table112348[[#This Row],[h (mm)]]</f>
        <v>3456.388854950399</v>
      </c>
      <c r="AE9" s="111">
        <v>0.79</v>
      </c>
      <c r="AF9" s="110">
        <v>629</v>
      </c>
      <c r="AG9" s="110">
        <f>(1/3-0.21*(MIN(Table112348[[#This Row],[b (mm)]],AA9)/MAX(Table112348[[#This Row],[b (mm)]],AA9))*(MIN(Table112348[[#This Row],[b (mm)]],AA9)^4/(12*MAX(Table112348[[#This Row],[b (mm)]],AA9)^4)))*MAX(Table112348[[#This Row],[b (mm)]],AA9)*MIN(Table112348[[#This Row],[b (mm)]],AA9)^3</f>
        <v>47288656943.663506</v>
      </c>
      <c r="AH9" s="110">
        <f>Table112348[[#This Row],[b (mm)]]*AA9^3/12</f>
        <v>21254928310.34594</v>
      </c>
      <c r="AI9" s="110">
        <v>3050</v>
      </c>
      <c r="AJ9" s="106"/>
      <c r="AK9" s="107"/>
    </row>
    <row r="10" spans="1:39" x14ac:dyDescent="0.25">
      <c r="A10" s="130" t="s">
        <v>171</v>
      </c>
      <c r="B10" s="130" t="s">
        <v>68</v>
      </c>
      <c r="C10" s="130">
        <v>9</v>
      </c>
      <c r="D10" s="130">
        <f>Table112348[[#This Row],[a (mm)]]/Table112348[[#This Row],[d (mm)]]</f>
        <v>2.2857142857142856</v>
      </c>
      <c r="E10" s="130">
        <v>845.12000000000012</v>
      </c>
      <c r="F10" s="127">
        <f>Table112348[[#This Row],[d (mm)]]</f>
        <v>666.75</v>
      </c>
      <c r="G10" s="110">
        <f t="shared" si="0"/>
        <v>1287962.8800000001</v>
      </c>
      <c r="H10" s="110">
        <f t="shared" si="1"/>
        <v>2.3008113974727056E-6</v>
      </c>
      <c r="I10" s="110">
        <f>G10/(Table112348[[#This Row],[b (mm)]]*Z10^2)</f>
        <v>5.0559699710608971E-3</v>
      </c>
      <c r="J10" s="110">
        <f t="shared" si="2"/>
        <v>0.88851973955096086</v>
      </c>
      <c r="K10" s="110">
        <f t="shared" si="3"/>
        <v>5.6915656779157324E-7</v>
      </c>
      <c r="L10" s="110">
        <f>E10/(Table112348[[#This Row],[b (mm)]]*Z10)</f>
        <v>2.2119868623391424E-3</v>
      </c>
      <c r="M10" s="110">
        <f>Table112348[[#This Row],[M (KN.mm)]]/(Table112348[[#This Row],[b (mm)]]*Table112348[[#This Row],[d (mm)]])</f>
        <v>3.3710679782048532</v>
      </c>
      <c r="N10" s="110">
        <f>Table112348[[#This Row],[M (KN.mm)]]/(Table112348[[#This Row],[b (mm)]]*Table112348[[#This Row],[h (mm)]])</f>
        <v>2.9437968871549369</v>
      </c>
      <c r="O10" s="110">
        <f>Table112348[[#This Row],[M (KN.mm)]]/(Table112348[[#This Row],[b (mm)]]*Table112348[[#This Row],[h (mm)]]*Table112348[[#This Row],[L(mm)]])</f>
        <v>9.6517930726391368E-4</v>
      </c>
      <c r="P10" s="110">
        <f>Table112348[[#This Row],[M (KN.mm)]]/(Table112348[[#This Row],[b (mm)]]*Table112348[[#This Row],[d (mm)]]*Table112348[[#This Row],[L(mm)]])</f>
        <v>1.1052681895753617E-3</v>
      </c>
      <c r="Q10" s="110">
        <f>Table112348[[#This Row],[M (KN.mm)]]/(Table112348[[#This Row],[b (mm)]]*Table112348[[#This Row],[h (mm)]]*Table112348[[#This Row],[L(mm)]]*Table112348[[#This Row],[fc (Mpa)]])</f>
        <v>3.4970264755938898E-5</v>
      </c>
      <c r="R10" s="110">
        <f>Table112348[[#This Row],[M (KN.mm)]]/(Table112348[[#This Row],[b (mm)]]*Table112348[[#This Row],[h (mm)]]*Table112348[[#This Row],[L(mm)]]/2)</f>
        <v>1.9303586145278274E-3</v>
      </c>
      <c r="S10" s="110">
        <f>Table112348[[#This Row],[M (KN.mm)]]/(Table112348[[#This Row],[a (mm)]]*Table112348[[#This Row],[b (mm)]]*Table112348[[#This Row],[h (mm)]]*Table112348[[#This Row],[L(mm)]]/2)</f>
        <v>1.266639510845031E-6</v>
      </c>
      <c r="T10" s="110">
        <f>G10/($AK$5*AH10*0.001*Table112348[[#This Row],[pho (%)]])</f>
        <v>2.9124194904717787E-6</v>
      </c>
      <c r="U10" s="110">
        <f>Table112348[[#This Row],[M (KN.mm)]]/(Table112348[[#This Row],[b (mm)]]*Table112348[[#This Row],[d (mm)]]*Table112348[[#This Row],[pho (%)]])</f>
        <v>4.2671746559555102</v>
      </c>
      <c r="V10" s="110">
        <f>E10*224.8/(2*SQRT(Table112348[[#This Row],[fc (Mpa)]]*145.037)*Table112348[[#This Row],[b (mm)]]*Table112348[[#This Row],[d (mm)]]*(1/25.4)^2)</f>
        <v>2.535259055644298</v>
      </c>
      <c r="W10" s="110">
        <f>Table112348[[#This Row],[M (KN.mm)]]/$G$10</f>
        <v>1</v>
      </c>
      <c r="X10" s="110">
        <f t="shared" si="4"/>
        <v>2.535259055644298</v>
      </c>
      <c r="Y10" s="110">
        <f t="shared" si="5"/>
        <v>1524</v>
      </c>
      <c r="Z10" s="110">
        <f t="shared" si="7"/>
        <v>666.75</v>
      </c>
      <c r="AA10" s="110">
        <f t="shared" si="8"/>
        <v>763.52399999999989</v>
      </c>
      <c r="AB10" s="110">
        <f t="shared" si="6"/>
        <v>573.02399999999989</v>
      </c>
      <c r="AC10" s="7">
        <v>27.6</v>
      </c>
      <c r="AD10" s="110">
        <f>Table112348[[#This Row],[pho (%)]]/100*Table112348[[#This Row],[b (mm)]]*Table112348[[#This Row],[h (mm)]]</f>
        <v>3456.388854950399</v>
      </c>
      <c r="AE10" s="111">
        <v>0.79</v>
      </c>
      <c r="AF10" s="110">
        <v>629</v>
      </c>
      <c r="AG10" s="110">
        <f>(1/3-0.21*(MIN(Table112348[[#This Row],[b (mm)]],AA10)/MAX(Table112348[[#This Row],[b (mm)]],AA10))*(MIN(Table112348[[#This Row],[b (mm)]],AA10)^4/(12*MAX(Table112348[[#This Row],[b (mm)]],AA10)^4)))*MAX(Table112348[[#This Row],[b (mm)]],AA10)*MIN(Table112348[[#This Row],[b (mm)]],AA10)^3</f>
        <v>47288656943.663506</v>
      </c>
      <c r="AH10" s="110">
        <f>Table112348[[#This Row],[b (mm)]]*AA10^3/12</f>
        <v>21254928310.34594</v>
      </c>
      <c r="AI10" s="110">
        <v>3050</v>
      </c>
      <c r="AJ10" s="106"/>
      <c r="AK10" s="107"/>
    </row>
    <row r="11" spans="1:39" x14ac:dyDescent="0.25">
      <c r="A11" s="121" t="s">
        <v>172</v>
      </c>
      <c r="B11" s="121" t="s">
        <v>60</v>
      </c>
      <c r="C11" s="121">
        <v>10</v>
      </c>
      <c r="D11" s="130">
        <f>Table112348[[#This Row],[a (mm)]]/Table112348[[#This Row],[d (mm)]]</f>
        <v>2.2857142857142856</v>
      </c>
      <c r="E11" s="121">
        <v>133.44</v>
      </c>
      <c r="F11" s="127">
        <f>Table112348[[#This Row],[d (mm)]]</f>
        <v>666.75</v>
      </c>
      <c r="G11" s="110">
        <f t="shared" si="0"/>
        <v>203362.56</v>
      </c>
      <c r="H11" s="110">
        <f t="shared" si="1"/>
        <v>3.6328601012726924E-7</v>
      </c>
      <c r="I11" s="110">
        <f>G11/(Table112348[[#This Row],[b (mm)]]*Z11^2)</f>
        <v>7.9831104806224679E-4</v>
      </c>
      <c r="J11" s="110">
        <f t="shared" si="2"/>
        <v>0.14029259045541487</v>
      </c>
      <c r="K11" s="110">
        <f t="shared" si="3"/>
        <v>8.9866826493406285E-8</v>
      </c>
      <c r="L11" s="110">
        <f>E11/(Table112348[[#This Row],[b (mm)]]*Z11)</f>
        <v>3.49261083527233E-4</v>
      </c>
      <c r="M11" s="110">
        <f>Table112348[[#This Row],[M (KN.mm)]]/(Table112348[[#This Row],[b (mm)]]*Table112348[[#This Row],[d (mm)]])</f>
        <v>0.53227389129550307</v>
      </c>
      <c r="N11" s="110">
        <f>Table112348[[#This Row],[M (KN.mm)]]/(Table112348[[#This Row],[b (mm)]]*Table112348[[#This Row],[h (mm)]])</f>
        <v>0.46481003481393734</v>
      </c>
      <c r="O11" s="110">
        <f>Table112348[[#This Row],[M (KN.mm)]]/(Table112348[[#This Row],[b (mm)]]*Table112348[[#This Row],[h (mm)]]*Table112348[[#This Row],[L(mm)]])</f>
        <v>1.5239673272588109E-4</v>
      </c>
      <c r="P11" s="110">
        <f>Table112348[[#This Row],[M (KN.mm)]]/(Table112348[[#This Row],[b (mm)]]*Table112348[[#This Row],[d (mm)]]*Table112348[[#This Row],[L(mm)]])</f>
        <v>1.7451602993295184E-4</v>
      </c>
      <c r="Q11" s="110">
        <f>Table112348[[#This Row],[M (KN.mm)]]/(Table112348[[#This Row],[b (mm)]]*Table112348[[#This Row],[h (mm)]]*Table112348[[#This Row],[L(mm)]]*Table112348[[#This Row],[fc (Mpa)]])</f>
        <v>4.9112707936152459E-6</v>
      </c>
      <c r="R11" s="110">
        <f>Table112348[[#This Row],[M (KN.mm)]]/(Table112348[[#This Row],[b (mm)]]*Table112348[[#This Row],[h (mm)]]*Table112348[[#This Row],[L(mm)]]/2)</f>
        <v>3.0479346545176218E-4</v>
      </c>
      <c r="S11" s="110">
        <f>Table112348[[#This Row],[M (KN.mm)]]/(Table112348[[#This Row],[a (mm)]]*Table112348[[#This Row],[b (mm)]]*Table112348[[#This Row],[h (mm)]]*Table112348[[#This Row],[L(mm)]]/2)</f>
        <v>1.9999571223868909E-7</v>
      </c>
      <c r="T11" s="110">
        <f>G11/($AK$5*AH11*0.001*Table112348[[#This Row],[pho (%)]])</f>
        <v>4.5985570902185979E-7</v>
      </c>
      <c r="U11" s="110">
        <f>Table112348[[#This Row],[M (KN.mm)]]/(Table112348[[#This Row],[b (mm)]]*Table112348[[#This Row],[d (mm)]]*Table112348[[#This Row],[pho (%)]])</f>
        <v>0.67376441936139619</v>
      </c>
      <c r="V11" s="110">
        <f>E11*224.8/(2*SQRT(Table112348[[#This Row],[fc (Mpa)]]*145.037)*Table112348[[#This Row],[b (mm)]]*Table112348[[#This Row],[d (mm)]]*(1/25.4)^2)</f>
        <v>0.37753189644466245</v>
      </c>
      <c r="W11" s="110">
        <f>Table112348[[#This Row],[M (KN.mm)]]/$G$23</f>
        <v>0.16393442622950818</v>
      </c>
      <c r="X11" s="110">
        <f t="shared" si="4"/>
        <v>0.37753189644466245</v>
      </c>
      <c r="Y11" s="110">
        <f t="shared" si="5"/>
        <v>1524</v>
      </c>
      <c r="Z11" s="110">
        <f t="shared" si="7"/>
        <v>666.75</v>
      </c>
      <c r="AA11" s="110">
        <f t="shared" si="8"/>
        <v>763.52399999999989</v>
      </c>
      <c r="AB11" s="110">
        <f t="shared" si="6"/>
        <v>573.02399999999989</v>
      </c>
      <c r="AC11" s="7">
        <v>31.03</v>
      </c>
      <c r="AD11" s="110">
        <f>Table112348[[#This Row],[pho (%)]]/100*Table112348[[#This Row],[b (mm)]]*Table112348[[#This Row],[h (mm)]]</f>
        <v>3456.388854950399</v>
      </c>
      <c r="AE11" s="111">
        <v>0.79</v>
      </c>
      <c r="AF11" s="110">
        <v>629</v>
      </c>
      <c r="AG11" s="110">
        <f>(1/3-0.21*(MIN(Table112348[[#This Row],[b (mm)]],AA11)/MAX(Table112348[[#This Row],[b (mm)]],AA11))*(MIN(Table112348[[#This Row],[b (mm)]],AA11)^4/(12*MAX(Table112348[[#This Row],[b (mm)]],AA11)^4)))*MAX(Table112348[[#This Row],[b (mm)]],AA11)*MIN(Table112348[[#This Row],[b (mm)]],AA11)^3</f>
        <v>47288656943.663506</v>
      </c>
      <c r="AH11" s="110">
        <f>Table112348[[#This Row],[b (mm)]]*AA11^3/12</f>
        <v>21254928310.34594</v>
      </c>
      <c r="AI11" s="110">
        <v>3050</v>
      </c>
      <c r="AJ11" s="106"/>
      <c r="AK11" s="107"/>
    </row>
    <row r="12" spans="1:39" x14ac:dyDescent="0.25">
      <c r="A12" s="121" t="s">
        <v>172</v>
      </c>
      <c r="B12" s="121" t="s">
        <v>61</v>
      </c>
      <c r="C12" s="121">
        <v>11</v>
      </c>
      <c r="D12" s="130">
        <f>Table112348[[#This Row],[a (mm)]]/Table112348[[#This Row],[d (mm)]]</f>
        <v>2.2857142857142856</v>
      </c>
      <c r="E12" s="121">
        <v>177.92000000000002</v>
      </c>
      <c r="F12" s="127">
        <f>Table112348[[#This Row],[d (mm)]]</f>
        <v>666.75</v>
      </c>
      <c r="G12" s="110">
        <f t="shared" si="0"/>
        <v>271150.08000000002</v>
      </c>
      <c r="H12" s="110">
        <f t="shared" si="1"/>
        <v>4.8438134683635902E-7</v>
      </c>
      <c r="I12" s="110">
        <f>G12/(Table112348[[#This Row],[b (mm)]]*Z12^2)</f>
        <v>1.0644147307496625E-3</v>
      </c>
      <c r="J12" s="110">
        <f t="shared" si="2"/>
        <v>0.1870567872738865</v>
      </c>
      <c r="K12" s="110">
        <f t="shared" si="3"/>
        <v>1.1982243532454172E-7</v>
      </c>
      <c r="L12" s="110">
        <f>E12/(Table112348[[#This Row],[b (mm)]]*Z12)</f>
        <v>4.6568144470297737E-4</v>
      </c>
      <c r="M12" s="110">
        <f>Table112348[[#This Row],[M (KN.mm)]]/(Table112348[[#This Row],[b (mm)]]*Table112348[[#This Row],[d (mm)]])</f>
        <v>0.70969852172733749</v>
      </c>
      <c r="N12" s="110">
        <f>Table112348[[#This Row],[M (KN.mm)]]/(Table112348[[#This Row],[b (mm)]]*Table112348[[#This Row],[h (mm)]])</f>
        <v>0.61974671308524987</v>
      </c>
      <c r="O12" s="110">
        <f>Table112348[[#This Row],[M (KN.mm)]]/(Table112348[[#This Row],[b (mm)]]*Table112348[[#This Row],[h (mm)]]*Table112348[[#This Row],[L(mm)]])</f>
        <v>2.0319564363450814E-4</v>
      </c>
      <c r="P12" s="110">
        <f>Table112348[[#This Row],[M (KN.mm)]]/(Table112348[[#This Row],[b (mm)]]*Table112348[[#This Row],[d (mm)]]*Table112348[[#This Row],[L(mm)]])</f>
        <v>2.3268803991060246E-4</v>
      </c>
      <c r="Q12" s="110">
        <f>Table112348[[#This Row],[M (KN.mm)]]/(Table112348[[#This Row],[b (mm)]]*Table112348[[#This Row],[h (mm)]]*Table112348[[#This Row],[L(mm)]]*Table112348[[#This Row],[fc (Mpa)]])</f>
        <v>6.5483610581536618E-6</v>
      </c>
      <c r="R12" s="110">
        <f>Table112348[[#This Row],[M (KN.mm)]]/(Table112348[[#This Row],[b (mm)]]*Table112348[[#This Row],[h (mm)]]*Table112348[[#This Row],[L(mm)]]/2)</f>
        <v>4.0639128726901628E-4</v>
      </c>
      <c r="S12" s="110">
        <f>Table112348[[#This Row],[M (KN.mm)]]/(Table112348[[#This Row],[a (mm)]]*Table112348[[#This Row],[b (mm)]]*Table112348[[#This Row],[h (mm)]]*Table112348[[#This Row],[L(mm)]]/2)</f>
        <v>2.6666094965158548E-7</v>
      </c>
      <c r="T12" s="110">
        <f>G12/($AK$5*AH12*0.001*Table112348[[#This Row],[pho (%)]])</f>
        <v>6.1314094536247969E-7</v>
      </c>
      <c r="U12" s="110">
        <f>Table112348[[#This Row],[M (KN.mm)]]/(Table112348[[#This Row],[b (mm)]]*Table112348[[#This Row],[d (mm)]]*Table112348[[#This Row],[pho (%)]])</f>
        <v>0.8983525591485283</v>
      </c>
      <c r="V12" s="110">
        <f>E12*224.8/(2*SQRT(Table112348[[#This Row],[fc (Mpa)]]*145.037)*Table112348[[#This Row],[b (mm)]]*Table112348[[#This Row],[d (mm)]]*(1/25.4)^2)</f>
        <v>0.50337586192621664</v>
      </c>
      <c r="W12" s="110">
        <f>Table112348[[#This Row],[M (KN.mm)]]/$G$23</f>
        <v>0.21857923497267759</v>
      </c>
      <c r="X12" s="110">
        <f t="shared" si="4"/>
        <v>0.50337586192621664</v>
      </c>
      <c r="Y12" s="110">
        <f t="shared" si="5"/>
        <v>1524</v>
      </c>
      <c r="Z12" s="110">
        <f t="shared" si="7"/>
        <v>666.75</v>
      </c>
      <c r="AA12" s="110">
        <f t="shared" si="8"/>
        <v>763.52399999999989</v>
      </c>
      <c r="AB12" s="110">
        <f t="shared" si="6"/>
        <v>573.02399999999989</v>
      </c>
      <c r="AC12" s="7">
        <v>31.03</v>
      </c>
      <c r="AD12" s="110">
        <f>Table112348[[#This Row],[pho (%)]]/100*Table112348[[#This Row],[b (mm)]]*Table112348[[#This Row],[h (mm)]]</f>
        <v>3456.388854950399</v>
      </c>
      <c r="AE12" s="111">
        <v>0.79</v>
      </c>
      <c r="AF12" s="110">
        <v>629</v>
      </c>
      <c r="AG12" s="110">
        <f>(1/3-0.21*(MIN(Table112348[[#This Row],[b (mm)]],AA12)/MAX(Table112348[[#This Row],[b (mm)]],AA12))*(MIN(Table112348[[#This Row],[b (mm)]],AA12)^4/(12*MAX(Table112348[[#This Row],[b (mm)]],AA12)^4)))*MAX(Table112348[[#This Row],[b (mm)]],AA12)*MIN(Table112348[[#This Row],[b (mm)]],AA12)^3</f>
        <v>47288656943.663506</v>
      </c>
      <c r="AH12" s="110">
        <f>Table112348[[#This Row],[b (mm)]]*AA12^3/12</f>
        <v>21254928310.34594</v>
      </c>
      <c r="AI12" s="110">
        <v>3050</v>
      </c>
      <c r="AJ12" s="106"/>
      <c r="AK12" s="107"/>
    </row>
    <row r="13" spans="1:39" x14ac:dyDescent="0.25">
      <c r="A13" s="121" t="s">
        <v>172</v>
      </c>
      <c r="B13" s="121" t="s">
        <v>62</v>
      </c>
      <c r="C13" s="121">
        <v>12</v>
      </c>
      <c r="D13" s="130">
        <f>Table112348[[#This Row],[a (mm)]]/Table112348[[#This Row],[d (mm)]]</f>
        <v>2.2857142857142856</v>
      </c>
      <c r="E13" s="121">
        <v>222.40000000000003</v>
      </c>
      <c r="F13" s="127">
        <f>Table112348[[#This Row],[d (mm)]]</f>
        <v>666.75</v>
      </c>
      <c r="G13" s="110">
        <f t="shared" si="0"/>
        <v>338937.60000000003</v>
      </c>
      <c r="H13" s="110">
        <f t="shared" si="1"/>
        <v>6.0547668354544886E-7</v>
      </c>
      <c r="I13" s="110">
        <f>G13/(Table112348[[#This Row],[b (mm)]]*Z13^2)</f>
        <v>1.3305184134370781E-3</v>
      </c>
      <c r="J13" s="110">
        <f t="shared" si="2"/>
        <v>0.23382098409235813</v>
      </c>
      <c r="K13" s="110">
        <f t="shared" si="3"/>
        <v>1.4977804415567717E-7</v>
      </c>
      <c r="L13" s="110">
        <f>E13/(Table112348[[#This Row],[b (mm)]]*Z13)</f>
        <v>5.8210180587872174E-4</v>
      </c>
      <c r="M13" s="110">
        <f>Table112348[[#This Row],[M (KN.mm)]]/(Table112348[[#This Row],[b (mm)]]*Table112348[[#This Row],[d (mm)]])</f>
        <v>0.88712315215917192</v>
      </c>
      <c r="N13" s="110">
        <f>Table112348[[#This Row],[M (KN.mm)]]/(Table112348[[#This Row],[b (mm)]]*Table112348[[#This Row],[h (mm)]])</f>
        <v>0.77468339135656239</v>
      </c>
      <c r="O13" s="110">
        <f>Table112348[[#This Row],[M (KN.mm)]]/(Table112348[[#This Row],[b (mm)]]*Table112348[[#This Row],[h (mm)]]*Table112348[[#This Row],[L(mm)]])</f>
        <v>2.5399455454313516E-4</v>
      </c>
      <c r="P13" s="110">
        <f>Table112348[[#This Row],[M (KN.mm)]]/(Table112348[[#This Row],[b (mm)]]*Table112348[[#This Row],[d (mm)]]*Table112348[[#This Row],[L(mm)]])</f>
        <v>2.9086004988825308E-4</v>
      </c>
      <c r="Q13" s="110">
        <f>Table112348[[#This Row],[M (KN.mm)]]/(Table112348[[#This Row],[b (mm)]]*Table112348[[#This Row],[h (mm)]]*Table112348[[#This Row],[L(mm)]]*Table112348[[#This Row],[fc (Mpa)]])</f>
        <v>8.1854513226920776E-6</v>
      </c>
      <c r="R13" s="110">
        <f>Table112348[[#This Row],[M (KN.mm)]]/(Table112348[[#This Row],[b (mm)]]*Table112348[[#This Row],[h (mm)]]*Table112348[[#This Row],[L(mm)]]/2)</f>
        <v>5.0798910908627032E-4</v>
      </c>
      <c r="S13" s="110">
        <f>Table112348[[#This Row],[M (KN.mm)]]/(Table112348[[#This Row],[a (mm)]]*Table112348[[#This Row],[b (mm)]]*Table112348[[#This Row],[h (mm)]]*Table112348[[#This Row],[L(mm)]]/2)</f>
        <v>3.3332618706448183E-7</v>
      </c>
      <c r="T13" s="110">
        <f>G13/($AK$5*AH13*0.001*Table112348[[#This Row],[pho (%)]])</f>
        <v>7.6642618170309969E-7</v>
      </c>
      <c r="U13" s="110">
        <f>Table112348[[#This Row],[M (KN.mm)]]/(Table112348[[#This Row],[b (mm)]]*Table112348[[#This Row],[d (mm)]]*Table112348[[#This Row],[pho (%)]])</f>
        <v>1.1229406989356605</v>
      </c>
      <c r="V13" s="110">
        <f>E13*224.8/(2*SQRT(Table112348[[#This Row],[fc (Mpa)]]*145.037)*Table112348[[#This Row],[b (mm)]]*Table112348[[#This Row],[d (mm)]]*(1/25.4)^2)</f>
        <v>0.62921982740777083</v>
      </c>
      <c r="W13" s="110">
        <f>Table112348[[#This Row],[M (KN.mm)]]/$G$23</f>
        <v>0.27322404371584696</v>
      </c>
      <c r="X13" s="110">
        <f t="shared" si="4"/>
        <v>0.62921982740777083</v>
      </c>
      <c r="Y13" s="110">
        <f t="shared" si="5"/>
        <v>1524</v>
      </c>
      <c r="Z13" s="110">
        <f t="shared" si="7"/>
        <v>666.75</v>
      </c>
      <c r="AA13" s="110">
        <f t="shared" si="8"/>
        <v>763.52399999999989</v>
      </c>
      <c r="AB13" s="110">
        <f t="shared" si="6"/>
        <v>573.02399999999989</v>
      </c>
      <c r="AC13" s="7">
        <v>31.03</v>
      </c>
      <c r="AD13" s="110">
        <f>Table112348[[#This Row],[pho (%)]]/100*Table112348[[#This Row],[b (mm)]]*Table112348[[#This Row],[h (mm)]]</f>
        <v>3456.388854950399</v>
      </c>
      <c r="AE13" s="111">
        <v>0.79</v>
      </c>
      <c r="AF13" s="110">
        <v>629</v>
      </c>
      <c r="AG13" s="110">
        <f>(1/3-0.21*(MIN(Table112348[[#This Row],[b (mm)]],AA13)/MAX(Table112348[[#This Row],[b (mm)]],AA13))*(MIN(Table112348[[#This Row],[b (mm)]],AA13)^4/(12*MAX(Table112348[[#This Row],[b (mm)]],AA13)^4)))*MAX(Table112348[[#This Row],[b (mm)]],AA13)*MIN(Table112348[[#This Row],[b (mm)]],AA13)^3</f>
        <v>47288656943.663506</v>
      </c>
      <c r="AH13" s="110">
        <f>Table112348[[#This Row],[b (mm)]]*AA13^3/12</f>
        <v>21254928310.34594</v>
      </c>
      <c r="AI13" s="110">
        <v>3050</v>
      </c>
      <c r="AJ13" s="106"/>
      <c r="AK13" s="107"/>
    </row>
    <row r="14" spans="1:39" x14ac:dyDescent="0.25">
      <c r="A14" s="121" t="s">
        <v>172</v>
      </c>
      <c r="B14" s="121" t="s">
        <v>63</v>
      </c>
      <c r="C14" s="121">
        <v>13</v>
      </c>
      <c r="D14" s="130">
        <f>Table112348[[#This Row],[a (mm)]]/Table112348[[#This Row],[d (mm)]]</f>
        <v>2.2857142857142856</v>
      </c>
      <c r="E14" s="121">
        <v>266.88</v>
      </c>
      <c r="F14" s="127">
        <f>Table112348[[#This Row],[d (mm)]]</f>
        <v>666.75</v>
      </c>
      <c r="G14" s="110">
        <f t="shared" si="0"/>
        <v>406725.12</v>
      </c>
      <c r="H14" s="110">
        <f t="shared" si="1"/>
        <v>7.2657202025453848E-7</v>
      </c>
      <c r="I14" s="110">
        <f>G14/(Table112348[[#This Row],[b (mm)]]*Z14^2)</f>
        <v>1.5966220961244936E-3</v>
      </c>
      <c r="J14" s="110">
        <f t="shared" si="2"/>
        <v>0.28058518091082973</v>
      </c>
      <c r="K14" s="110">
        <f t="shared" si="3"/>
        <v>1.7973365298681257E-7</v>
      </c>
      <c r="L14" s="110">
        <f>E14/(Table112348[[#This Row],[b (mm)]]*Z14)</f>
        <v>6.98522167054466E-4</v>
      </c>
      <c r="M14" s="110">
        <f>Table112348[[#This Row],[M (KN.mm)]]/(Table112348[[#This Row],[b (mm)]]*Table112348[[#This Row],[d (mm)]])</f>
        <v>1.0645477825910061</v>
      </c>
      <c r="N14" s="110">
        <f>Table112348[[#This Row],[M (KN.mm)]]/(Table112348[[#This Row],[b (mm)]]*Table112348[[#This Row],[h (mm)]])</f>
        <v>0.92962006962787469</v>
      </c>
      <c r="O14" s="110">
        <f>Table112348[[#This Row],[M (KN.mm)]]/(Table112348[[#This Row],[b (mm)]]*Table112348[[#This Row],[h (mm)]]*Table112348[[#This Row],[L(mm)]])</f>
        <v>3.0479346545176218E-4</v>
      </c>
      <c r="P14" s="110">
        <f>Table112348[[#This Row],[M (KN.mm)]]/(Table112348[[#This Row],[b (mm)]]*Table112348[[#This Row],[d (mm)]]*Table112348[[#This Row],[L(mm)]])</f>
        <v>3.4903205986590367E-4</v>
      </c>
      <c r="Q14" s="110">
        <f>Table112348[[#This Row],[M (KN.mm)]]/(Table112348[[#This Row],[b (mm)]]*Table112348[[#This Row],[h (mm)]]*Table112348[[#This Row],[L(mm)]]*Table112348[[#This Row],[fc (Mpa)]])</f>
        <v>9.8225415872304918E-6</v>
      </c>
      <c r="R14" s="110">
        <f>Table112348[[#This Row],[M (KN.mm)]]/(Table112348[[#This Row],[b (mm)]]*Table112348[[#This Row],[h (mm)]]*Table112348[[#This Row],[L(mm)]]/2)</f>
        <v>6.0958693090352436E-4</v>
      </c>
      <c r="S14" s="110">
        <f>Table112348[[#This Row],[M (KN.mm)]]/(Table112348[[#This Row],[a (mm)]]*Table112348[[#This Row],[b (mm)]]*Table112348[[#This Row],[h (mm)]]*Table112348[[#This Row],[L(mm)]]/2)</f>
        <v>3.9999142447737819E-7</v>
      </c>
      <c r="T14" s="110">
        <f>G14/($AK$5*AH14*0.001*Table112348[[#This Row],[pho (%)]])</f>
        <v>9.1971141804371958E-7</v>
      </c>
      <c r="U14" s="110">
        <f>Table112348[[#This Row],[M (KN.mm)]]/(Table112348[[#This Row],[b (mm)]]*Table112348[[#This Row],[d (mm)]]*Table112348[[#This Row],[pho (%)]])</f>
        <v>1.3475288387227924</v>
      </c>
      <c r="V14" s="110">
        <f>E14*224.8/(2*SQRT(Table112348[[#This Row],[fc (Mpa)]]*145.037)*Table112348[[#This Row],[b (mm)]]*Table112348[[#This Row],[d (mm)]]*(1/25.4)^2)</f>
        <v>0.7550637928893249</v>
      </c>
      <c r="W14" s="110">
        <f>Table112348[[#This Row],[M (KN.mm)]]/$G$23</f>
        <v>0.32786885245901637</v>
      </c>
      <c r="X14" s="110">
        <f t="shared" si="4"/>
        <v>0.7550637928893249</v>
      </c>
      <c r="Y14" s="110">
        <f t="shared" si="5"/>
        <v>1524</v>
      </c>
      <c r="Z14" s="110">
        <f t="shared" si="7"/>
        <v>666.75</v>
      </c>
      <c r="AA14" s="110">
        <f t="shared" si="8"/>
        <v>763.52399999999989</v>
      </c>
      <c r="AB14" s="110">
        <f t="shared" si="6"/>
        <v>573.02399999999989</v>
      </c>
      <c r="AC14" s="7">
        <v>31.03</v>
      </c>
      <c r="AD14" s="110">
        <f>Table112348[[#This Row],[pho (%)]]/100*Table112348[[#This Row],[b (mm)]]*Table112348[[#This Row],[h (mm)]]</f>
        <v>3456.388854950399</v>
      </c>
      <c r="AE14" s="111">
        <v>0.79</v>
      </c>
      <c r="AF14" s="110">
        <v>629</v>
      </c>
      <c r="AG14" s="110">
        <f>(1/3-0.21*(MIN(Table112348[[#This Row],[b (mm)]],AA14)/MAX(Table112348[[#This Row],[b (mm)]],AA14))*(MIN(Table112348[[#This Row],[b (mm)]],AA14)^4/(12*MAX(Table112348[[#This Row],[b (mm)]],AA14)^4)))*MAX(Table112348[[#This Row],[b (mm)]],AA14)*MIN(Table112348[[#This Row],[b (mm)]],AA14)^3</f>
        <v>47288656943.663506</v>
      </c>
      <c r="AH14" s="110">
        <f>Table112348[[#This Row],[b (mm)]]*AA14^3/12</f>
        <v>21254928310.34594</v>
      </c>
      <c r="AI14" s="110">
        <v>3050</v>
      </c>
      <c r="AJ14" s="106"/>
      <c r="AK14" s="107"/>
    </row>
    <row r="15" spans="1:39" x14ac:dyDescent="0.25">
      <c r="A15" s="121" t="s">
        <v>172</v>
      </c>
      <c r="B15" s="121" t="s">
        <v>64</v>
      </c>
      <c r="C15" s="121">
        <v>14</v>
      </c>
      <c r="D15" s="130">
        <f>Table112348[[#This Row],[a (mm)]]/Table112348[[#This Row],[d (mm)]]</f>
        <v>2.2857142857142856</v>
      </c>
      <c r="E15" s="121">
        <v>311.36</v>
      </c>
      <c r="F15" s="127">
        <f>Table112348[[#This Row],[d (mm)]]</f>
        <v>666.75</v>
      </c>
      <c r="G15" s="109">
        <f t="shared" si="0"/>
        <v>474512.64000000001</v>
      </c>
      <c r="H15" s="109">
        <f t="shared" si="1"/>
        <v>8.4766735696362831E-7</v>
      </c>
      <c r="I15" s="109">
        <f>G15/(Table112348[[#This Row],[b (mm)]]*Z15^2)</f>
        <v>1.8627257788119095E-3</v>
      </c>
      <c r="J15" s="109">
        <f t="shared" si="2"/>
        <v>0.32734937772930134</v>
      </c>
      <c r="K15" s="109">
        <f t="shared" si="3"/>
        <v>2.0968926181794802E-7</v>
      </c>
      <c r="L15" s="109">
        <f>E15/(Table112348[[#This Row],[b (mm)]]*Z15)</f>
        <v>8.1494252823021036E-4</v>
      </c>
      <c r="M15" s="109">
        <f>Table112348[[#This Row],[M (KN.mm)]]/(Table112348[[#This Row],[b (mm)]]*Table112348[[#This Row],[d (mm)]])</f>
        <v>1.2419724130228404</v>
      </c>
      <c r="N15" s="109">
        <f>Table112348[[#This Row],[M (KN.mm)]]/(Table112348[[#This Row],[b (mm)]]*Table112348[[#This Row],[h (mm)]])</f>
        <v>1.0845567478991873</v>
      </c>
      <c r="O15" s="109">
        <f>Table112348[[#This Row],[M (KN.mm)]]/(Table112348[[#This Row],[b (mm)]]*Table112348[[#This Row],[h (mm)]]*Table112348[[#This Row],[L(mm)]])</f>
        <v>3.555923763603892E-4</v>
      </c>
      <c r="P15" s="109">
        <f>Table112348[[#This Row],[M (KN.mm)]]/(Table112348[[#This Row],[b (mm)]]*Table112348[[#This Row],[d (mm)]]*Table112348[[#This Row],[L(mm)]])</f>
        <v>4.0720406984355432E-4</v>
      </c>
      <c r="Q15" s="109">
        <f>Table112348[[#This Row],[M (KN.mm)]]/(Table112348[[#This Row],[b (mm)]]*Table112348[[#This Row],[h (mm)]]*Table112348[[#This Row],[L(mm)]]*Table112348[[#This Row],[fc (Mpa)]])</f>
        <v>1.1459631851768908E-5</v>
      </c>
      <c r="R15" s="109">
        <f>Table112348[[#This Row],[M (KN.mm)]]/(Table112348[[#This Row],[b (mm)]]*Table112348[[#This Row],[h (mm)]]*Table112348[[#This Row],[L(mm)]]/2)</f>
        <v>7.1118475272077841E-4</v>
      </c>
      <c r="S15" s="109">
        <f>Table112348[[#This Row],[M (KN.mm)]]/(Table112348[[#This Row],[a (mm)]]*Table112348[[#This Row],[b (mm)]]*Table112348[[#This Row],[h (mm)]]*Table112348[[#This Row],[L(mm)]]/2)</f>
        <v>4.6665666189027454E-7</v>
      </c>
      <c r="T15" s="110">
        <f>G15/($AK$5*AH15*0.001*Table112348[[#This Row],[pho (%)]])</f>
        <v>1.0729966543843396E-6</v>
      </c>
      <c r="U15" s="109">
        <f>Table112348[[#This Row],[M (KN.mm)]]/(Table112348[[#This Row],[b (mm)]]*Table112348[[#This Row],[d (mm)]]*Table112348[[#This Row],[pho (%)]])</f>
        <v>1.5721169785099245</v>
      </c>
      <c r="V15" s="110">
        <f>E15*224.8/(2*SQRT(Table112348[[#This Row],[fc (Mpa)]]*145.037)*Table112348[[#This Row],[b (mm)]]*Table112348[[#This Row],[d (mm)]]*(1/25.4)^2)</f>
        <v>0.88090775837087898</v>
      </c>
      <c r="W15" s="110">
        <f>Table112348[[#This Row],[M (KN.mm)]]/$G$23</f>
        <v>0.38251366120218577</v>
      </c>
      <c r="X15" s="110">
        <f t="shared" si="4"/>
        <v>0.88090775837087898</v>
      </c>
      <c r="Y15" s="110">
        <f t="shared" si="5"/>
        <v>1524</v>
      </c>
      <c r="Z15" s="110">
        <f t="shared" si="7"/>
        <v>666.75</v>
      </c>
      <c r="AA15" s="110">
        <f t="shared" si="8"/>
        <v>763.52399999999989</v>
      </c>
      <c r="AB15" s="110">
        <f t="shared" si="6"/>
        <v>573.02399999999989</v>
      </c>
      <c r="AC15" s="7">
        <v>31.03</v>
      </c>
      <c r="AD15" s="110">
        <f>Table112348[[#This Row],[pho (%)]]/100*Table112348[[#This Row],[b (mm)]]*Table112348[[#This Row],[h (mm)]]</f>
        <v>3456.388854950399</v>
      </c>
      <c r="AE15" s="111">
        <v>0.79</v>
      </c>
      <c r="AF15" s="110">
        <v>629</v>
      </c>
      <c r="AG15" s="110">
        <f>(1/3-0.21*(MIN(Table112348[[#This Row],[b (mm)]],AA15)/MAX(Table112348[[#This Row],[b (mm)]],AA15))*(MIN(Table112348[[#This Row],[b (mm)]],AA15)^4/(12*MAX(Table112348[[#This Row],[b (mm)]],AA15)^4)))*MAX(Table112348[[#This Row],[b (mm)]],AA15)*MIN(Table112348[[#This Row],[b (mm)]],AA15)^3</f>
        <v>47288656943.663506</v>
      </c>
      <c r="AH15" s="110">
        <f>Table112348[[#This Row],[b (mm)]]*AA15^3/12</f>
        <v>21254928310.34594</v>
      </c>
      <c r="AI15" s="110">
        <v>3050</v>
      </c>
      <c r="AJ15" s="106"/>
      <c r="AK15" s="107"/>
    </row>
    <row r="16" spans="1:39" x14ac:dyDescent="0.25">
      <c r="A16" s="121" t="s">
        <v>172</v>
      </c>
      <c r="B16" s="121" t="s">
        <v>65</v>
      </c>
      <c r="C16" s="121">
        <v>15</v>
      </c>
      <c r="D16" s="130">
        <f>Table112348[[#This Row],[a (mm)]]/Table112348[[#This Row],[d (mm)]]</f>
        <v>2.2857142857142856</v>
      </c>
      <c r="E16" s="121">
        <v>355.84000000000003</v>
      </c>
      <c r="F16" s="127">
        <f>Table112348[[#This Row],[d (mm)]]</f>
        <v>666.75</v>
      </c>
      <c r="G16" s="109">
        <f t="shared" si="0"/>
        <v>542300.16000000003</v>
      </c>
      <c r="H16" s="109">
        <f t="shared" si="1"/>
        <v>9.6876269367271804E-7</v>
      </c>
      <c r="I16" s="109">
        <f>G16/(Table112348[[#This Row],[b (mm)]]*Z16^2)</f>
        <v>2.1288294614993249E-3</v>
      </c>
      <c r="J16" s="109">
        <f t="shared" si="2"/>
        <v>0.374113574547773</v>
      </c>
      <c r="K16" s="109">
        <f t="shared" si="3"/>
        <v>2.3964487064908344E-7</v>
      </c>
      <c r="L16" s="109">
        <f>E16/(Table112348[[#This Row],[b (mm)]]*Z16)</f>
        <v>9.3136288940595473E-4</v>
      </c>
      <c r="M16" s="109">
        <f>Table112348[[#This Row],[M (KN.mm)]]/(Table112348[[#This Row],[b (mm)]]*Table112348[[#This Row],[d (mm)]])</f>
        <v>1.419397043454675</v>
      </c>
      <c r="N16" s="109">
        <f>Table112348[[#This Row],[M (KN.mm)]]/(Table112348[[#This Row],[b (mm)]]*Table112348[[#This Row],[h (mm)]])</f>
        <v>1.2394934261704997</v>
      </c>
      <c r="O16" s="109">
        <f>Table112348[[#This Row],[M (KN.mm)]]/(Table112348[[#This Row],[b (mm)]]*Table112348[[#This Row],[h (mm)]]*Table112348[[#This Row],[L(mm)]])</f>
        <v>4.0639128726901628E-4</v>
      </c>
      <c r="P16" s="109">
        <f>Table112348[[#This Row],[M (KN.mm)]]/(Table112348[[#This Row],[b (mm)]]*Table112348[[#This Row],[d (mm)]]*Table112348[[#This Row],[L(mm)]])</f>
        <v>4.6537607982120491E-4</v>
      </c>
      <c r="Q16" s="109">
        <f>Table112348[[#This Row],[M (KN.mm)]]/(Table112348[[#This Row],[b (mm)]]*Table112348[[#This Row],[h (mm)]]*Table112348[[#This Row],[L(mm)]]*Table112348[[#This Row],[fc (Mpa)]])</f>
        <v>1.3096722116307324E-5</v>
      </c>
      <c r="R16" s="109">
        <f>Table112348[[#This Row],[M (KN.mm)]]/(Table112348[[#This Row],[b (mm)]]*Table112348[[#This Row],[h (mm)]]*Table112348[[#This Row],[L(mm)]]/2)</f>
        <v>8.1278257453803256E-4</v>
      </c>
      <c r="S16" s="109">
        <f>Table112348[[#This Row],[M (KN.mm)]]/(Table112348[[#This Row],[a (mm)]]*Table112348[[#This Row],[b (mm)]]*Table112348[[#This Row],[h (mm)]]*Table112348[[#This Row],[L(mm)]]/2)</f>
        <v>5.3332189930317095E-7</v>
      </c>
      <c r="T16" s="110">
        <f>G16/($AK$5*AH16*0.001*Table112348[[#This Row],[pho (%)]])</f>
        <v>1.2262818907249594E-6</v>
      </c>
      <c r="U16" s="109">
        <f>Table112348[[#This Row],[M (KN.mm)]]/(Table112348[[#This Row],[b (mm)]]*Table112348[[#This Row],[d (mm)]]*Table112348[[#This Row],[pho (%)]])</f>
        <v>1.7967051182970566</v>
      </c>
      <c r="V16" s="110">
        <f>E16*224.8/(2*SQRT(Table112348[[#This Row],[fc (Mpa)]]*145.037)*Table112348[[#This Row],[b (mm)]]*Table112348[[#This Row],[d (mm)]]*(1/25.4)^2)</f>
        <v>1.0067517238524333</v>
      </c>
      <c r="W16" s="110">
        <f>Table112348[[#This Row],[M (KN.mm)]]/$G$23</f>
        <v>0.43715846994535518</v>
      </c>
      <c r="X16" s="110">
        <f t="shared" si="4"/>
        <v>1.0067517238524333</v>
      </c>
      <c r="Y16" s="110">
        <f t="shared" si="5"/>
        <v>1524</v>
      </c>
      <c r="Z16" s="110">
        <f t="shared" si="7"/>
        <v>666.75</v>
      </c>
      <c r="AA16" s="110">
        <f t="shared" si="8"/>
        <v>763.52399999999989</v>
      </c>
      <c r="AB16" s="110">
        <f t="shared" si="6"/>
        <v>573.02399999999989</v>
      </c>
      <c r="AC16" s="7">
        <v>31.03</v>
      </c>
      <c r="AD16" s="110">
        <f>Table112348[[#This Row],[pho (%)]]/100*Table112348[[#This Row],[b (mm)]]*Table112348[[#This Row],[h (mm)]]</f>
        <v>3456.388854950399</v>
      </c>
      <c r="AE16" s="111">
        <v>0.79</v>
      </c>
      <c r="AF16" s="110">
        <v>629</v>
      </c>
      <c r="AG16" s="110">
        <f>(1/3-0.21*(MIN(Table112348[[#This Row],[b (mm)]],AA16)/MAX(Table112348[[#This Row],[b (mm)]],AA16))*(MIN(Table112348[[#This Row],[b (mm)]],AA16)^4/(12*MAX(Table112348[[#This Row],[b (mm)]],AA16)^4)))*MAX(Table112348[[#This Row],[b (mm)]],AA16)*MIN(Table112348[[#This Row],[b (mm)]],AA16)^3</f>
        <v>47288656943.663506</v>
      </c>
      <c r="AH16" s="110">
        <f>Table112348[[#This Row],[b (mm)]]*AA16^3/12</f>
        <v>21254928310.34594</v>
      </c>
      <c r="AI16" s="110">
        <v>3050</v>
      </c>
      <c r="AJ16" s="106"/>
      <c r="AK16" s="107"/>
    </row>
    <row r="17" spans="1:39" x14ac:dyDescent="0.25">
      <c r="A17" s="121" t="s">
        <v>172</v>
      </c>
      <c r="B17" s="121" t="s">
        <v>66</v>
      </c>
      <c r="C17" s="121">
        <v>16</v>
      </c>
      <c r="D17" s="130">
        <f>Table112348[[#This Row],[a (mm)]]/Table112348[[#This Row],[d (mm)]]</f>
        <v>2.2857142857142856</v>
      </c>
      <c r="E17" s="121">
        <v>400.32000000000005</v>
      </c>
      <c r="F17" s="127">
        <f>Table112348[[#This Row],[d (mm)]]</f>
        <v>666.75</v>
      </c>
      <c r="G17" s="109">
        <f t="shared" si="0"/>
        <v>610087.68000000005</v>
      </c>
      <c r="H17" s="109">
        <f t="shared" si="1"/>
        <v>1.0898580303818079E-6</v>
      </c>
      <c r="I17" s="109">
        <f>G17/(Table112348[[#This Row],[b (mm)]]*Z17^2)</f>
        <v>2.3949331441867408E-3</v>
      </c>
      <c r="J17" s="109">
        <f t="shared" si="2"/>
        <v>0.4208777713662446</v>
      </c>
      <c r="K17" s="109">
        <f t="shared" si="3"/>
        <v>2.6960047948021889E-7</v>
      </c>
      <c r="L17" s="109">
        <f>E17/(Table112348[[#This Row],[b (mm)]]*Z17)</f>
        <v>1.0477832505816991E-3</v>
      </c>
      <c r="M17" s="109">
        <f>Table112348[[#This Row],[M (KN.mm)]]/(Table112348[[#This Row],[b (mm)]]*Table112348[[#This Row],[d (mm)]])</f>
        <v>1.5968216738865093</v>
      </c>
      <c r="N17" s="109">
        <f>Table112348[[#This Row],[M (KN.mm)]]/(Table112348[[#This Row],[b (mm)]]*Table112348[[#This Row],[h (mm)]])</f>
        <v>1.3944301044418121</v>
      </c>
      <c r="O17" s="109">
        <f>Table112348[[#This Row],[M (KN.mm)]]/(Table112348[[#This Row],[b (mm)]]*Table112348[[#This Row],[h (mm)]]*Table112348[[#This Row],[L(mm)]])</f>
        <v>4.571901981776433E-4</v>
      </c>
      <c r="P17" s="109">
        <f>Table112348[[#This Row],[M (KN.mm)]]/(Table112348[[#This Row],[b (mm)]]*Table112348[[#This Row],[d (mm)]]*Table112348[[#This Row],[L(mm)]])</f>
        <v>5.2354808979885551E-4</v>
      </c>
      <c r="Q17" s="109">
        <f>Table112348[[#This Row],[M (KN.mm)]]/(Table112348[[#This Row],[b (mm)]]*Table112348[[#This Row],[h (mm)]]*Table112348[[#This Row],[L(mm)]]*Table112348[[#This Row],[fc (Mpa)]])</f>
        <v>1.4733812380845739E-5</v>
      </c>
      <c r="R17" s="109">
        <f>Table112348[[#This Row],[M (KN.mm)]]/(Table112348[[#This Row],[b (mm)]]*Table112348[[#This Row],[h (mm)]]*Table112348[[#This Row],[L(mm)]]/2)</f>
        <v>9.143803963552866E-4</v>
      </c>
      <c r="S17" s="109">
        <f>Table112348[[#This Row],[M (KN.mm)]]/(Table112348[[#This Row],[a (mm)]]*Table112348[[#This Row],[b (mm)]]*Table112348[[#This Row],[h (mm)]]*Table112348[[#This Row],[L(mm)]]/2)</f>
        <v>5.9998713671606736E-7</v>
      </c>
      <c r="T17" s="110">
        <f>G17/($AK$5*AH17*0.001*Table112348[[#This Row],[pho (%)]])</f>
        <v>1.3795671270655794E-6</v>
      </c>
      <c r="U17" s="109">
        <f>Table112348[[#This Row],[M (KN.mm)]]/(Table112348[[#This Row],[b (mm)]]*Table112348[[#This Row],[d (mm)]]*Table112348[[#This Row],[pho (%)]])</f>
        <v>2.0212932580841887</v>
      </c>
      <c r="V17" s="110">
        <f>E17*224.8/(2*SQRT(Table112348[[#This Row],[fc (Mpa)]]*145.037)*Table112348[[#This Row],[b (mm)]]*Table112348[[#This Row],[d (mm)]]*(1/25.4)^2)</f>
        <v>1.1325956893339875</v>
      </c>
      <c r="W17" s="110">
        <f>Table112348[[#This Row],[M (KN.mm)]]/$G$23</f>
        <v>0.49180327868852458</v>
      </c>
      <c r="X17" s="110">
        <f t="shared" si="4"/>
        <v>1.1325956893339875</v>
      </c>
      <c r="Y17" s="110">
        <f t="shared" si="5"/>
        <v>1524</v>
      </c>
      <c r="Z17" s="110">
        <f t="shared" si="7"/>
        <v>666.75</v>
      </c>
      <c r="AA17" s="110">
        <f t="shared" si="8"/>
        <v>763.52399999999989</v>
      </c>
      <c r="AB17" s="110">
        <f t="shared" si="6"/>
        <v>573.02399999999989</v>
      </c>
      <c r="AC17" s="7">
        <v>31.03</v>
      </c>
      <c r="AD17" s="110">
        <f>Table112348[[#This Row],[pho (%)]]/100*Table112348[[#This Row],[b (mm)]]*Table112348[[#This Row],[h (mm)]]</f>
        <v>3456.388854950399</v>
      </c>
      <c r="AE17" s="111">
        <v>0.79</v>
      </c>
      <c r="AF17" s="110">
        <v>629</v>
      </c>
      <c r="AG17" s="110">
        <f>(1/3-0.21*(MIN(Table112348[[#This Row],[b (mm)]],AA17)/MAX(Table112348[[#This Row],[b (mm)]],AA17))*(MIN(Table112348[[#This Row],[b (mm)]],AA17)^4/(12*MAX(Table112348[[#This Row],[b (mm)]],AA17)^4)))*MAX(Table112348[[#This Row],[b (mm)]],AA17)*MIN(Table112348[[#This Row],[b (mm)]],AA17)^3</f>
        <v>47288656943.663506</v>
      </c>
      <c r="AH17" s="110">
        <f>Table112348[[#This Row],[b (mm)]]*AA17^3/12</f>
        <v>21254928310.34594</v>
      </c>
      <c r="AI17" s="110">
        <v>3050</v>
      </c>
      <c r="AJ17" s="106"/>
      <c r="AK17" s="107"/>
    </row>
    <row r="18" spans="1:39" s="129" customFormat="1" x14ac:dyDescent="0.25">
      <c r="A18" s="121" t="s">
        <v>172</v>
      </c>
      <c r="B18" s="121" t="s">
        <v>67</v>
      </c>
      <c r="C18" s="121">
        <v>17</v>
      </c>
      <c r="D18" s="130">
        <f>Table112348[[#This Row],[a (mm)]]/Table112348[[#This Row],[d (mm)]]</f>
        <v>2.2857142857142856</v>
      </c>
      <c r="E18" s="121">
        <v>444.80000000000007</v>
      </c>
      <c r="F18" s="127">
        <f>Table112348[[#This Row],[d (mm)]]</f>
        <v>666.75</v>
      </c>
      <c r="G18" s="110">
        <f t="shared" si="0"/>
        <v>677875.20000000007</v>
      </c>
      <c r="H18" s="110">
        <f t="shared" si="1"/>
        <v>1.2109533670908977E-6</v>
      </c>
      <c r="I18" s="132">
        <f>G18/(Table112348[[#This Row],[b (mm)]]*Z18^2)</f>
        <v>2.6610368268741563E-3</v>
      </c>
      <c r="J18" s="110">
        <f t="shared" si="2"/>
        <v>0.46764196818471626</v>
      </c>
      <c r="K18" s="110">
        <f t="shared" si="3"/>
        <v>2.9955608831135434E-7</v>
      </c>
      <c r="L18" s="132">
        <f>E18/(Table112348[[#This Row],[b (mm)]]*Z18)</f>
        <v>1.1642036117574435E-3</v>
      </c>
      <c r="M18" s="132">
        <f>Table112348[[#This Row],[M (KN.mm)]]/(Table112348[[#This Row],[b (mm)]]*Table112348[[#This Row],[d (mm)]])</f>
        <v>1.7742463043183438</v>
      </c>
      <c r="N18" s="132">
        <f>Table112348[[#This Row],[M (KN.mm)]]/(Table112348[[#This Row],[b (mm)]]*Table112348[[#This Row],[h (mm)]])</f>
        <v>1.5493667827131248</v>
      </c>
      <c r="O18" s="133">
        <f>Table112348[[#This Row],[M (KN.mm)]]/(Table112348[[#This Row],[b (mm)]]*Table112348[[#This Row],[h (mm)]]*Table112348[[#This Row],[L(mm)]])</f>
        <v>5.0798910908627032E-4</v>
      </c>
      <c r="P18" s="133">
        <f>Table112348[[#This Row],[M (KN.mm)]]/(Table112348[[#This Row],[b (mm)]]*Table112348[[#This Row],[d (mm)]]*Table112348[[#This Row],[L(mm)]])</f>
        <v>5.8172009977650616E-4</v>
      </c>
      <c r="Q18" s="133">
        <f>Table112348[[#This Row],[M (KN.mm)]]/(Table112348[[#This Row],[b (mm)]]*Table112348[[#This Row],[h (mm)]]*Table112348[[#This Row],[L(mm)]]*Table112348[[#This Row],[fc (Mpa)]])</f>
        <v>1.6370902645384155E-5</v>
      </c>
      <c r="R18" s="133">
        <f>Table112348[[#This Row],[M (KN.mm)]]/(Table112348[[#This Row],[b (mm)]]*Table112348[[#This Row],[h (mm)]]*Table112348[[#This Row],[L(mm)]]/2)</f>
        <v>1.0159782181725406E-3</v>
      </c>
      <c r="S18" s="133">
        <f>Table112348[[#This Row],[M (KN.mm)]]/(Table112348[[#This Row],[a (mm)]]*Table112348[[#This Row],[b (mm)]]*Table112348[[#This Row],[h (mm)]]*Table112348[[#This Row],[L(mm)]]/2)</f>
        <v>6.6665237412896366E-7</v>
      </c>
      <c r="T18" s="110">
        <f>G18/($AK$5*AH18*0.001*Table112348[[#This Row],[pho (%)]])</f>
        <v>1.5328523634061994E-6</v>
      </c>
      <c r="U18" s="133">
        <f>Table112348[[#This Row],[M (KN.mm)]]/(Table112348[[#This Row],[b (mm)]]*Table112348[[#This Row],[d (mm)]]*Table112348[[#This Row],[pho (%)]])</f>
        <v>2.245881397871321</v>
      </c>
      <c r="V18" s="110">
        <f>E18*224.8/(2*SQRT(Table112348[[#This Row],[fc (Mpa)]]*145.037)*Table112348[[#This Row],[b (mm)]]*Table112348[[#This Row],[d (mm)]]*(1/25.4)^2)</f>
        <v>1.2584396548155417</v>
      </c>
      <c r="W18" s="110">
        <f>Table112348[[#This Row],[M (KN.mm)]]/$G$23</f>
        <v>0.54644808743169393</v>
      </c>
      <c r="X18" s="110">
        <f t="shared" si="4"/>
        <v>1.2584396548155417</v>
      </c>
      <c r="Y18" s="110">
        <f t="shared" si="5"/>
        <v>1524</v>
      </c>
      <c r="Z18" s="110">
        <f t="shared" si="7"/>
        <v>666.75</v>
      </c>
      <c r="AA18" s="110">
        <f t="shared" si="8"/>
        <v>763.52399999999989</v>
      </c>
      <c r="AB18" s="110">
        <f t="shared" si="6"/>
        <v>573.02399999999989</v>
      </c>
      <c r="AC18" s="7">
        <v>31.03</v>
      </c>
      <c r="AD18" s="110">
        <f>Table112348[[#This Row],[pho (%)]]/100*Table112348[[#This Row],[b (mm)]]*Table112348[[#This Row],[h (mm)]]</f>
        <v>3456.388854950399</v>
      </c>
      <c r="AE18" s="111">
        <v>0.79</v>
      </c>
      <c r="AF18" s="110">
        <v>629</v>
      </c>
      <c r="AG18" s="132">
        <f>(1/3-0.21*(MIN(Table112348[[#This Row],[b (mm)]],AA18)/MAX(Table112348[[#This Row],[b (mm)]],AA18))*(MIN(Table112348[[#This Row],[b (mm)]],AA18)^4/(12*MAX(Table112348[[#This Row],[b (mm)]],AA18)^4)))*MAX(Table112348[[#This Row],[b (mm)]],AA18)*MIN(Table112348[[#This Row],[b (mm)]],AA18)^3</f>
        <v>47288656943.663506</v>
      </c>
      <c r="AH18" s="132">
        <f>Table112348[[#This Row],[b (mm)]]*AA18^3/12</f>
        <v>21254928310.34594</v>
      </c>
      <c r="AI18" s="110">
        <v>3050</v>
      </c>
      <c r="AJ18" s="106"/>
      <c r="AK18" s="128"/>
      <c r="AL18"/>
      <c r="AM18"/>
    </row>
    <row r="19" spans="1:39" s="129" customFormat="1" x14ac:dyDescent="0.25">
      <c r="A19" s="121" t="s">
        <v>172</v>
      </c>
      <c r="B19" s="121" t="s">
        <v>68</v>
      </c>
      <c r="C19" s="121">
        <v>18</v>
      </c>
      <c r="D19" s="130">
        <f>Table112348[[#This Row],[a (mm)]]/Table112348[[#This Row],[d (mm)]]</f>
        <v>2.2857142857142856</v>
      </c>
      <c r="E19" s="121">
        <v>489.28000000000003</v>
      </c>
      <c r="F19" s="127">
        <f>Table112348[[#This Row],[d (mm)]]</f>
        <v>666.75</v>
      </c>
      <c r="G19" s="110">
        <f t="shared" si="0"/>
        <v>745662.72000000009</v>
      </c>
      <c r="H19" s="110">
        <f t="shared" si="1"/>
        <v>1.3320487037999873E-6</v>
      </c>
      <c r="I19" s="132">
        <f>G19/(Table112348[[#This Row],[b (mm)]]*Z19^2)</f>
        <v>2.9271405095615721E-3</v>
      </c>
      <c r="J19" s="110">
        <f t="shared" si="2"/>
        <v>0.51440616500318792</v>
      </c>
      <c r="K19" s="110">
        <f t="shared" si="3"/>
        <v>3.2951169714248974E-7</v>
      </c>
      <c r="L19" s="132">
        <f>E19/(Table112348[[#This Row],[b (mm)]]*Z19)</f>
        <v>1.2806239729331876E-3</v>
      </c>
      <c r="M19" s="132">
        <f>Table112348[[#This Row],[M (KN.mm)]]/(Table112348[[#This Row],[b (mm)]]*Table112348[[#This Row],[d (mm)]])</f>
        <v>1.9516709347501782</v>
      </c>
      <c r="N19" s="132">
        <f>Table112348[[#This Row],[M (KN.mm)]]/(Table112348[[#This Row],[b (mm)]]*Table112348[[#This Row],[h (mm)]])</f>
        <v>1.7043034609844372</v>
      </c>
      <c r="O19" s="133">
        <f>Table112348[[#This Row],[M (KN.mm)]]/(Table112348[[#This Row],[b (mm)]]*Table112348[[#This Row],[h (mm)]]*Table112348[[#This Row],[L(mm)]])</f>
        <v>5.587880199948974E-4</v>
      </c>
      <c r="P19" s="133">
        <f>Table112348[[#This Row],[M (KN.mm)]]/(Table112348[[#This Row],[b (mm)]]*Table112348[[#This Row],[d (mm)]]*Table112348[[#This Row],[L(mm)]])</f>
        <v>6.398921097541568E-4</v>
      </c>
      <c r="Q19" s="133">
        <f>Table112348[[#This Row],[M (KN.mm)]]/(Table112348[[#This Row],[b (mm)]]*Table112348[[#This Row],[h (mm)]]*Table112348[[#This Row],[L(mm)]]*Table112348[[#This Row],[fc (Mpa)]])</f>
        <v>1.8007992909922571E-5</v>
      </c>
      <c r="R19" s="133">
        <f>Table112348[[#This Row],[M (KN.mm)]]/(Table112348[[#This Row],[b (mm)]]*Table112348[[#This Row],[h (mm)]]*Table112348[[#This Row],[L(mm)]]/2)</f>
        <v>1.1175760399897948E-3</v>
      </c>
      <c r="S19" s="133">
        <f>Table112348[[#This Row],[M (KN.mm)]]/(Table112348[[#This Row],[a (mm)]]*Table112348[[#This Row],[b (mm)]]*Table112348[[#This Row],[h (mm)]]*Table112348[[#This Row],[L(mm)]]/2)</f>
        <v>7.3331761154186007E-7</v>
      </c>
      <c r="T19" s="110">
        <f>G19/($AK$5*AH19*0.001*Table112348[[#This Row],[pho (%)]])</f>
        <v>1.6861375997468194E-6</v>
      </c>
      <c r="U19" s="133">
        <f>Table112348[[#This Row],[M (KN.mm)]]/(Table112348[[#This Row],[b (mm)]]*Table112348[[#This Row],[d (mm)]]*Table112348[[#This Row],[pho (%)]])</f>
        <v>2.4704695376584529</v>
      </c>
      <c r="V19" s="110">
        <f>E19*224.8/(2*SQRT(Table112348[[#This Row],[fc (Mpa)]]*145.037)*Table112348[[#This Row],[b (mm)]]*Table112348[[#This Row],[d (mm)]]*(1/25.4)^2)</f>
        <v>1.3842836202970958</v>
      </c>
      <c r="W19" s="110">
        <f>Table112348[[#This Row],[M (KN.mm)]]/$G$23</f>
        <v>0.60109289617486339</v>
      </c>
      <c r="X19" s="110">
        <f t="shared" si="4"/>
        <v>1.3842836202970958</v>
      </c>
      <c r="Y19" s="110">
        <f t="shared" si="5"/>
        <v>1524</v>
      </c>
      <c r="Z19" s="110">
        <f t="shared" si="7"/>
        <v>666.75</v>
      </c>
      <c r="AA19" s="110">
        <f t="shared" si="8"/>
        <v>763.52399999999989</v>
      </c>
      <c r="AB19" s="110">
        <f t="shared" si="6"/>
        <v>573.02399999999989</v>
      </c>
      <c r="AC19" s="7">
        <v>31.03</v>
      </c>
      <c r="AD19" s="110">
        <f>Table112348[[#This Row],[pho (%)]]/100*Table112348[[#This Row],[b (mm)]]*Table112348[[#This Row],[h (mm)]]</f>
        <v>3456.388854950399</v>
      </c>
      <c r="AE19" s="111">
        <v>0.79</v>
      </c>
      <c r="AF19" s="110">
        <v>629</v>
      </c>
      <c r="AG19" s="132">
        <f>(1/3-0.21*(MIN(Table112348[[#This Row],[b (mm)]],AA19)/MAX(Table112348[[#This Row],[b (mm)]],AA19))*(MIN(Table112348[[#This Row],[b (mm)]],AA19)^4/(12*MAX(Table112348[[#This Row],[b (mm)]],AA19)^4)))*MAX(Table112348[[#This Row],[b (mm)]],AA19)*MIN(Table112348[[#This Row],[b (mm)]],AA19)^3</f>
        <v>47288656943.663506</v>
      </c>
      <c r="AH19" s="132">
        <f>Table112348[[#This Row],[b (mm)]]*AA19^3/12</f>
        <v>21254928310.34594</v>
      </c>
      <c r="AI19" s="110">
        <v>3050</v>
      </c>
      <c r="AJ19" s="106"/>
      <c r="AK19" s="128"/>
      <c r="AL19"/>
      <c r="AM19"/>
    </row>
    <row r="20" spans="1:39" s="129" customFormat="1" x14ac:dyDescent="0.25">
      <c r="A20" s="121" t="s">
        <v>172</v>
      </c>
      <c r="B20" s="121" t="s">
        <v>174</v>
      </c>
      <c r="C20" s="121">
        <v>19</v>
      </c>
      <c r="D20" s="130">
        <f>Table112348[[#This Row],[a (mm)]]/Table112348[[#This Row],[d (mm)]]</f>
        <v>2.2857142857142856</v>
      </c>
      <c r="E20" s="121">
        <v>533.76</v>
      </c>
      <c r="F20" s="127">
        <f>Table112348[[#This Row],[d (mm)]]</f>
        <v>666.75</v>
      </c>
      <c r="G20" s="110">
        <f t="shared" si="0"/>
        <v>813450.23999999999</v>
      </c>
      <c r="H20" s="110">
        <f t="shared" si="1"/>
        <v>1.453144040509077E-6</v>
      </c>
      <c r="I20" s="132">
        <f>G20/(Table112348[[#This Row],[b (mm)]]*Z20^2)</f>
        <v>3.1932441922489872E-3</v>
      </c>
      <c r="J20" s="110">
        <f t="shared" si="2"/>
        <v>0.56117036182165947</v>
      </c>
      <c r="K20" s="110">
        <f t="shared" si="3"/>
        <v>3.5946730597362514E-7</v>
      </c>
      <c r="L20" s="132">
        <f>E20/(Table112348[[#This Row],[b (mm)]]*Z20)</f>
        <v>1.397044334108932E-3</v>
      </c>
      <c r="M20" s="132">
        <f>Table112348[[#This Row],[M (KN.mm)]]/(Table112348[[#This Row],[b (mm)]]*Table112348[[#This Row],[d (mm)]])</f>
        <v>2.1290955651820123</v>
      </c>
      <c r="N20" s="132">
        <f>Table112348[[#This Row],[M (KN.mm)]]/(Table112348[[#This Row],[b (mm)]]*Table112348[[#This Row],[h (mm)]])</f>
        <v>1.8592401392557494</v>
      </c>
      <c r="O20" s="133">
        <f>Table112348[[#This Row],[M (KN.mm)]]/(Table112348[[#This Row],[b (mm)]]*Table112348[[#This Row],[h (mm)]]*Table112348[[#This Row],[L(mm)]])</f>
        <v>6.0958693090352436E-4</v>
      </c>
      <c r="P20" s="133">
        <f>Table112348[[#This Row],[M (KN.mm)]]/(Table112348[[#This Row],[b (mm)]]*Table112348[[#This Row],[d (mm)]]*Table112348[[#This Row],[L(mm)]])</f>
        <v>6.9806411973180734E-4</v>
      </c>
      <c r="Q20" s="133">
        <f>Table112348[[#This Row],[M (KN.mm)]]/(Table112348[[#This Row],[b (mm)]]*Table112348[[#This Row],[h (mm)]]*Table112348[[#This Row],[L(mm)]]*Table112348[[#This Row],[fc (Mpa)]])</f>
        <v>1.9645083174460984E-5</v>
      </c>
      <c r="R20" s="133">
        <f>Table112348[[#This Row],[M (KN.mm)]]/(Table112348[[#This Row],[b (mm)]]*Table112348[[#This Row],[h (mm)]]*Table112348[[#This Row],[L(mm)]]/2)</f>
        <v>1.2191738618070487E-3</v>
      </c>
      <c r="S20" s="133">
        <f>Table112348[[#This Row],[M (KN.mm)]]/(Table112348[[#This Row],[a (mm)]]*Table112348[[#This Row],[b (mm)]]*Table112348[[#This Row],[h (mm)]]*Table112348[[#This Row],[L(mm)]]/2)</f>
        <v>7.9998284895475638E-7</v>
      </c>
      <c r="T20" s="110">
        <f>G20/($AK$5*AH20*0.001*Table112348[[#This Row],[pho (%)]])</f>
        <v>1.8394228360874392E-6</v>
      </c>
      <c r="U20" s="133">
        <f>Table112348[[#This Row],[M (KN.mm)]]/(Table112348[[#This Row],[b (mm)]]*Table112348[[#This Row],[d (mm)]]*Table112348[[#This Row],[pho (%)]])</f>
        <v>2.6950576774455848</v>
      </c>
      <c r="V20" s="110">
        <f>E20*224.8/(2*SQRT(Table112348[[#This Row],[fc (Mpa)]]*145.037)*Table112348[[#This Row],[b (mm)]]*Table112348[[#This Row],[d (mm)]]*(1/25.4)^2)</f>
        <v>1.5101275857786498</v>
      </c>
      <c r="W20" s="110">
        <f>Table112348[[#This Row],[M (KN.mm)]]/$G$23</f>
        <v>0.65573770491803274</v>
      </c>
      <c r="X20" s="110">
        <f t="shared" si="4"/>
        <v>1.5101275857786498</v>
      </c>
      <c r="Y20" s="110">
        <f t="shared" si="5"/>
        <v>1524</v>
      </c>
      <c r="Z20" s="110">
        <f t="shared" si="7"/>
        <v>666.75</v>
      </c>
      <c r="AA20" s="110">
        <f t="shared" si="8"/>
        <v>763.52399999999989</v>
      </c>
      <c r="AB20" s="110">
        <f t="shared" si="6"/>
        <v>573.02399999999989</v>
      </c>
      <c r="AC20" s="7">
        <v>31.03</v>
      </c>
      <c r="AD20" s="110">
        <f>Table112348[[#This Row],[pho (%)]]/100*Table112348[[#This Row],[b (mm)]]*Table112348[[#This Row],[h (mm)]]</f>
        <v>3456.388854950399</v>
      </c>
      <c r="AE20" s="111">
        <v>0.79</v>
      </c>
      <c r="AF20" s="110">
        <v>629</v>
      </c>
      <c r="AG20" s="132">
        <f>(1/3-0.21*(MIN(Table112348[[#This Row],[b (mm)]],AA20)/MAX(Table112348[[#This Row],[b (mm)]],AA20))*(MIN(Table112348[[#This Row],[b (mm)]],AA20)^4/(12*MAX(Table112348[[#This Row],[b (mm)]],AA20)^4)))*MAX(Table112348[[#This Row],[b (mm)]],AA20)*MIN(Table112348[[#This Row],[b (mm)]],AA20)^3</f>
        <v>47288656943.663506</v>
      </c>
      <c r="AH20" s="132">
        <f>Table112348[[#This Row],[b (mm)]]*AA20^3/12</f>
        <v>21254928310.34594</v>
      </c>
      <c r="AI20" s="110">
        <v>3050</v>
      </c>
      <c r="AJ20" s="106"/>
      <c r="AK20" s="128"/>
      <c r="AL20"/>
      <c r="AM20"/>
    </row>
    <row r="21" spans="1:39" s="129" customFormat="1" x14ac:dyDescent="0.25">
      <c r="A21" s="121" t="s">
        <v>172</v>
      </c>
      <c r="B21" s="121" t="s">
        <v>175</v>
      </c>
      <c r="C21" s="121">
        <v>20</v>
      </c>
      <c r="D21" s="130">
        <f>Table112348[[#This Row],[a (mm)]]/Table112348[[#This Row],[d (mm)]]</f>
        <v>2.2857142857142856</v>
      </c>
      <c r="E21" s="121">
        <v>578.24</v>
      </c>
      <c r="F21" s="127">
        <f>Table112348[[#This Row],[d (mm)]]</f>
        <v>666.75</v>
      </c>
      <c r="G21" s="110">
        <f t="shared" si="0"/>
        <v>881237.76</v>
      </c>
      <c r="H21" s="110">
        <f t="shared" si="1"/>
        <v>1.5742393772181668E-6</v>
      </c>
      <c r="I21" s="132">
        <f>G21/(Table112348[[#This Row],[b (mm)]]*Z21^2)</f>
        <v>3.459347874936403E-3</v>
      </c>
      <c r="J21" s="110">
        <f t="shared" si="2"/>
        <v>0.60793455864013102</v>
      </c>
      <c r="K21" s="110">
        <f t="shared" si="3"/>
        <v>3.8942291480476059E-7</v>
      </c>
      <c r="L21" s="132">
        <f>E21/(Table112348[[#This Row],[b (mm)]]*Z21)</f>
        <v>1.5134646952846764E-3</v>
      </c>
      <c r="M21" s="132">
        <f>Table112348[[#This Row],[M (KN.mm)]]/(Table112348[[#This Row],[b (mm)]]*Table112348[[#This Row],[d (mm)]])</f>
        <v>2.3065201956138468</v>
      </c>
      <c r="N21" s="132">
        <f>Table112348[[#This Row],[M (KN.mm)]]/(Table112348[[#This Row],[b (mm)]]*Table112348[[#This Row],[h (mm)]])</f>
        <v>2.014176817527062</v>
      </c>
      <c r="O21" s="133">
        <f>Table112348[[#This Row],[M (KN.mm)]]/(Table112348[[#This Row],[b (mm)]]*Table112348[[#This Row],[h (mm)]]*Table112348[[#This Row],[L(mm)]])</f>
        <v>6.6038584181215144E-4</v>
      </c>
      <c r="P21" s="133">
        <f>Table112348[[#This Row],[M (KN.mm)]]/(Table112348[[#This Row],[b (mm)]]*Table112348[[#This Row],[d (mm)]]*Table112348[[#This Row],[L(mm)]])</f>
        <v>7.5623612970945799E-4</v>
      </c>
      <c r="Q21" s="133">
        <f>Table112348[[#This Row],[M (KN.mm)]]/(Table112348[[#This Row],[b (mm)]]*Table112348[[#This Row],[h (mm)]]*Table112348[[#This Row],[L(mm)]]*Table112348[[#This Row],[fc (Mpa)]])</f>
        <v>2.1282173438999399E-5</v>
      </c>
      <c r="R21" s="133">
        <f>Table112348[[#This Row],[M (KN.mm)]]/(Table112348[[#This Row],[b (mm)]]*Table112348[[#This Row],[h (mm)]]*Table112348[[#This Row],[L(mm)]]/2)</f>
        <v>1.3207716836243029E-3</v>
      </c>
      <c r="S21" s="133">
        <f>Table112348[[#This Row],[M (KN.mm)]]/(Table112348[[#This Row],[a (mm)]]*Table112348[[#This Row],[b (mm)]]*Table112348[[#This Row],[h (mm)]]*Table112348[[#This Row],[L(mm)]]/2)</f>
        <v>8.6664808636765278E-7</v>
      </c>
      <c r="T21" s="110">
        <f>G21/($AK$5*AH21*0.001*Table112348[[#This Row],[pho (%)]])</f>
        <v>1.9927080724280592E-6</v>
      </c>
      <c r="U21" s="133">
        <f>Table112348[[#This Row],[M (KN.mm)]]/(Table112348[[#This Row],[b (mm)]]*Table112348[[#This Row],[d (mm)]]*Table112348[[#This Row],[pho (%)]])</f>
        <v>2.9196458172327171</v>
      </c>
      <c r="V21" s="110">
        <f>E21*224.8/(2*SQRT(Table112348[[#This Row],[fc (Mpa)]]*145.037)*Table112348[[#This Row],[b (mm)]]*Table112348[[#This Row],[d (mm)]]*(1/25.4)^2)</f>
        <v>1.635971551260204</v>
      </c>
      <c r="W21" s="110">
        <f>Table112348[[#This Row],[M (KN.mm)]]/$G$23</f>
        <v>0.71038251366120209</v>
      </c>
      <c r="X21" s="110">
        <f t="shared" si="4"/>
        <v>1.635971551260204</v>
      </c>
      <c r="Y21" s="110">
        <f t="shared" si="5"/>
        <v>1524</v>
      </c>
      <c r="Z21" s="110">
        <f t="shared" si="7"/>
        <v>666.75</v>
      </c>
      <c r="AA21" s="110">
        <f t="shared" si="8"/>
        <v>763.52399999999989</v>
      </c>
      <c r="AB21" s="110">
        <f t="shared" si="6"/>
        <v>573.02399999999989</v>
      </c>
      <c r="AC21" s="7">
        <v>31.03</v>
      </c>
      <c r="AD21" s="110">
        <f>Table112348[[#This Row],[pho (%)]]/100*Table112348[[#This Row],[b (mm)]]*Table112348[[#This Row],[h (mm)]]</f>
        <v>3456.388854950399</v>
      </c>
      <c r="AE21" s="111">
        <v>0.79</v>
      </c>
      <c r="AF21" s="110">
        <v>629</v>
      </c>
      <c r="AG21" s="132">
        <f>(1/3-0.21*(MIN(Table112348[[#This Row],[b (mm)]],AA21)/MAX(Table112348[[#This Row],[b (mm)]],AA21))*(MIN(Table112348[[#This Row],[b (mm)]],AA21)^4/(12*MAX(Table112348[[#This Row],[b (mm)]],AA21)^4)))*MAX(Table112348[[#This Row],[b (mm)]],AA21)*MIN(Table112348[[#This Row],[b (mm)]],AA21)^3</f>
        <v>47288656943.663506</v>
      </c>
      <c r="AH21" s="132">
        <f>Table112348[[#This Row],[b (mm)]]*AA21^3/12</f>
        <v>21254928310.34594</v>
      </c>
      <c r="AI21" s="110">
        <v>3050</v>
      </c>
      <c r="AJ21" s="106"/>
      <c r="AK21" s="128"/>
      <c r="AL21"/>
      <c r="AM21"/>
    </row>
    <row r="22" spans="1:39" s="129" customFormat="1" x14ac:dyDescent="0.25">
      <c r="A22" s="121" t="s">
        <v>172</v>
      </c>
      <c r="B22" s="121" t="s">
        <v>176</v>
      </c>
      <c r="C22" s="121">
        <v>21</v>
      </c>
      <c r="D22" s="130">
        <f>Table112348[[#This Row],[a (mm)]]/Table112348[[#This Row],[d (mm)]]</f>
        <v>2.2857142857142856</v>
      </c>
      <c r="E22" s="121">
        <v>622.72</v>
      </c>
      <c r="F22" s="127">
        <f>Table112348[[#This Row],[d (mm)]]</f>
        <v>666.75</v>
      </c>
      <c r="G22" s="110">
        <f t="shared" si="0"/>
        <v>949025.28000000003</v>
      </c>
      <c r="H22" s="110">
        <f t="shared" si="1"/>
        <v>1.6953347139272566E-6</v>
      </c>
      <c r="I22" s="132">
        <f>G22/(Table112348[[#This Row],[b (mm)]]*Z22^2)</f>
        <v>3.7254515576238189E-3</v>
      </c>
      <c r="J22" s="110">
        <f t="shared" si="2"/>
        <v>0.65469875545860268</v>
      </c>
      <c r="K22" s="110">
        <f t="shared" si="3"/>
        <v>4.1937852363589604E-7</v>
      </c>
      <c r="L22" s="132">
        <f>E22/(Table112348[[#This Row],[b (mm)]]*Z22)</f>
        <v>1.6298850564604207E-3</v>
      </c>
      <c r="M22" s="132">
        <f>Table112348[[#This Row],[M (KN.mm)]]/(Table112348[[#This Row],[b (mm)]]*Table112348[[#This Row],[d (mm)]])</f>
        <v>2.4839448260456809</v>
      </c>
      <c r="N22" s="132">
        <f>Table112348[[#This Row],[M (KN.mm)]]/(Table112348[[#This Row],[b (mm)]]*Table112348[[#This Row],[h (mm)]])</f>
        <v>2.1691134957983746</v>
      </c>
      <c r="O22" s="133">
        <f>Table112348[[#This Row],[M (KN.mm)]]/(Table112348[[#This Row],[b (mm)]]*Table112348[[#This Row],[h (mm)]]*Table112348[[#This Row],[L(mm)]])</f>
        <v>7.1118475272077841E-4</v>
      </c>
      <c r="P22" s="133">
        <f>Table112348[[#This Row],[M (KN.mm)]]/(Table112348[[#This Row],[b (mm)]]*Table112348[[#This Row],[d (mm)]]*Table112348[[#This Row],[L(mm)]])</f>
        <v>8.1440813968710864E-4</v>
      </c>
      <c r="Q22" s="133">
        <f>Table112348[[#This Row],[M (KN.mm)]]/(Table112348[[#This Row],[b (mm)]]*Table112348[[#This Row],[h (mm)]]*Table112348[[#This Row],[L(mm)]]*Table112348[[#This Row],[fc (Mpa)]])</f>
        <v>2.2919263703537815E-5</v>
      </c>
      <c r="R22" s="133">
        <f>Table112348[[#This Row],[M (KN.mm)]]/(Table112348[[#This Row],[b (mm)]]*Table112348[[#This Row],[h (mm)]]*Table112348[[#This Row],[L(mm)]]/2)</f>
        <v>1.4223695054415568E-3</v>
      </c>
      <c r="S22" s="133">
        <f>Table112348[[#This Row],[M (KN.mm)]]/(Table112348[[#This Row],[a (mm)]]*Table112348[[#This Row],[b (mm)]]*Table112348[[#This Row],[h (mm)]]*Table112348[[#This Row],[L(mm)]]/2)</f>
        <v>9.3331332378054909E-7</v>
      </c>
      <c r="T22" s="110">
        <f>G22/($AK$5*AH22*0.001*Table112348[[#This Row],[pho (%)]])</f>
        <v>2.1459933087686792E-6</v>
      </c>
      <c r="U22" s="133">
        <f>Table112348[[#This Row],[M (KN.mm)]]/(Table112348[[#This Row],[b (mm)]]*Table112348[[#This Row],[d (mm)]]*Table112348[[#This Row],[pho (%)]])</f>
        <v>3.144233957019849</v>
      </c>
      <c r="V22" s="110">
        <f>E22*224.8/(2*SQRT(Table112348[[#This Row],[fc (Mpa)]]*145.037)*Table112348[[#This Row],[b (mm)]]*Table112348[[#This Row],[d (mm)]]*(1/25.4)^2)</f>
        <v>1.761815516741758</v>
      </c>
      <c r="W22" s="110">
        <f>Table112348[[#This Row],[M (KN.mm)]]/$G$23</f>
        <v>0.76502732240437155</v>
      </c>
      <c r="X22" s="110">
        <f t="shared" si="4"/>
        <v>1.761815516741758</v>
      </c>
      <c r="Y22" s="110">
        <f t="shared" si="5"/>
        <v>1524</v>
      </c>
      <c r="Z22" s="110">
        <f t="shared" si="7"/>
        <v>666.75</v>
      </c>
      <c r="AA22" s="110">
        <f t="shared" si="8"/>
        <v>763.52399999999989</v>
      </c>
      <c r="AB22" s="110">
        <f t="shared" si="6"/>
        <v>573.02399999999989</v>
      </c>
      <c r="AC22" s="7">
        <v>31.03</v>
      </c>
      <c r="AD22" s="110">
        <f>Table112348[[#This Row],[pho (%)]]/100*Table112348[[#This Row],[b (mm)]]*Table112348[[#This Row],[h (mm)]]</f>
        <v>3456.388854950399</v>
      </c>
      <c r="AE22" s="111">
        <v>0.79</v>
      </c>
      <c r="AF22" s="110">
        <v>629</v>
      </c>
      <c r="AG22" s="132">
        <f>(1/3-0.21*(MIN(Table112348[[#This Row],[b (mm)]],AA22)/MAX(Table112348[[#This Row],[b (mm)]],AA22))*(MIN(Table112348[[#This Row],[b (mm)]],AA22)^4/(12*MAX(Table112348[[#This Row],[b (mm)]],AA22)^4)))*MAX(Table112348[[#This Row],[b (mm)]],AA22)*MIN(Table112348[[#This Row],[b (mm)]],AA22)^3</f>
        <v>47288656943.663506</v>
      </c>
      <c r="AH22" s="132">
        <f>Table112348[[#This Row],[b (mm)]]*AA22^3/12</f>
        <v>21254928310.34594</v>
      </c>
      <c r="AI22" s="110">
        <v>3050</v>
      </c>
      <c r="AJ22" s="106"/>
      <c r="AK22" s="106"/>
      <c r="AL22"/>
      <c r="AM22"/>
    </row>
    <row r="23" spans="1:39" s="129" customFormat="1" x14ac:dyDescent="0.25">
      <c r="A23" s="121" t="s">
        <v>172</v>
      </c>
      <c r="B23" s="121" t="s">
        <v>173</v>
      </c>
      <c r="C23" s="121">
        <v>22</v>
      </c>
      <c r="D23" s="130">
        <f>Table112348[[#This Row],[a (mm)]]/Table112348[[#This Row],[d (mm)]]</f>
        <v>2.2857142857142856</v>
      </c>
      <c r="E23" s="121">
        <v>813.98400000000004</v>
      </c>
      <c r="F23" s="127">
        <f>Table112348[[#This Row],[d (mm)]]</f>
        <v>666.75</v>
      </c>
      <c r="G23" s="110">
        <f t="shared" si="0"/>
        <v>1240511.6160000002</v>
      </c>
      <c r="H23" s="110">
        <f t="shared" si="1"/>
        <v>2.2160446617763427E-6</v>
      </c>
      <c r="I23" s="132">
        <f>G23/(Table112348[[#This Row],[b (mm)]]*Z23^2)</f>
        <v>4.8696973931797068E-3</v>
      </c>
      <c r="J23" s="110">
        <f t="shared" si="2"/>
        <v>0.85578480177803073</v>
      </c>
      <c r="K23" s="110">
        <f t="shared" si="3"/>
        <v>5.4818764160977834E-7</v>
      </c>
      <c r="L23" s="132">
        <f>E23/(Table112348[[#This Row],[b (mm)]]*Z23)</f>
        <v>2.1304926095161215E-3</v>
      </c>
      <c r="M23" s="132">
        <f>Table112348[[#This Row],[M (KN.mm)]]/(Table112348[[#This Row],[b (mm)]]*Table112348[[#This Row],[d (mm)]])</f>
        <v>3.2468707369025691</v>
      </c>
      <c r="N23" s="132">
        <f>Table112348[[#This Row],[M (KN.mm)]]/(Table112348[[#This Row],[b (mm)]]*Table112348[[#This Row],[h (mm)]])</f>
        <v>2.8353412123650181</v>
      </c>
      <c r="O23" s="133">
        <f>Table112348[[#This Row],[M (KN.mm)]]/(Table112348[[#This Row],[b (mm)]]*Table112348[[#This Row],[h (mm)]]*Table112348[[#This Row],[L(mm)]])</f>
        <v>9.2962006962787479E-4</v>
      </c>
      <c r="P23" s="133">
        <f>Table112348[[#This Row],[M (KN.mm)]]/(Table112348[[#This Row],[b (mm)]]*Table112348[[#This Row],[d (mm)]]*Table112348[[#This Row],[L(mm)]])</f>
        <v>1.0645477825910064E-3</v>
      </c>
      <c r="Q23" s="133">
        <f>Table112348[[#This Row],[M (KN.mm)]]/(Table112348[[#This Row],[b (mm)]]*Table112348[[#This Row],[h (mm)]]*Table112348[[#This Row],[L(mm)]]*Table112348[[#This Row],[fc (Mpa)]])</f>
        <v>2.9958751841053004E-5</v>
      </c>
      <c r="R23" s="133">
        <f>Table112348[[#This Row],[M (KN.mm)]]/(Table112348[[#This Row],[b (mm)]]*Table112348[[#This Row],[h (mm)]]*Table112348[[#This Row],[L(mm)]]/2)</f>
        <v>1.8592401392557496E-3</v>
      </c>
      <c r="S23" s="133">
        <f>Table112348[[#This Row],[M (KN.mm)]]/(Table112348[[#This Row],[a (mm)]]*Table112348[[#This Row],[b (mm)]]*Table112348[[#This Row],[h (mm)]]*Table112348[[#This Row],[L(mm)]]/2)</f>
        <v>1.2199738446560037E-6</v>
      </c>
      <c r="T23" s="110">
        <f>G23/($AK$5*AH23*0.001*Table112348[[#This Row],[pho (%)]])</f>
        <v>2.805119825033345E-6</v>
      </c>
      <c r="U23" s="133">
        <f>Table112348[[#This Row],[M (KN.mm)]]/(Table112348[[#This Row],[b (mm)]]*Table112348[[#This Row],[d (mm)]]*Table112348[[#This Row],[pho (%)]])</f>
        <v>4.1099629581045178</v>
      </c>
      <c r="V23" s="110">
        <f>E23*224.8/(2*SQRT(Table112348[[#This Row],[fc (Mpa)]]*145.037)*Table112348[[#This Row],[b (mm)]]*Table112348[[#This Row],[d (mm)]]*(1/25.4)^2)</f>
        <v>2.3029445683124408</v>
      </c>
      <c r="W23" s="110">
        <f>Table112348[[#This Row],[M (KN.mm)]]/$G$23</f>
        <v>1</v>
      </c>
      <c r="X23" s="110">
        <f t="shared" si="4"/>
        <v>2.3029445683124408</v>
      </c>
      <c r="Y23" s="110">
        <f t="shared" si="5"/>
        <v>1524</v>
      </c>
      <c r="Z23" s="110">
        <f t="shared" si="7"/>
        <v>666.75</v>
      </c>
      <c r="AA23" s="110">
        <f t="shared" si="8"/>
        <v>763.52399999999989</v>
      </c>
      <c r="AB23" s="110">
        <f t="shared" si="6"/>
        <v>573.02399999999989</v>
      </c>
      <c r="AC23" s="7">
        <v>31.03</v>
      </c>
      <c r="AD23" s="110">
        <f>Table112348[[#This Row],[pho (%)]]/100*Table112348[[#This Row],[b (mm)]]*Table112348[[#This Row],[h (mm)]]</f>
        <v>3456.388854950399</v>
      </c>
      <c r="AE23" s="111">
        <v>0.79</v>
      </c>
      <c r="AF23" s="110">
        <v>629</v>
      </c>
      <c r="AG23" s="132">
        <f>(1/3-0.21*(MIN(Table112348[[#This Row],[b (mm)]],AA23)/MAX(Table112348[[#This Row],[b (mm)]],AA23))*(MIN(Table112348[[#This Row],[b (mm)]],AA23)^4/(12*MAX(Table112348[[#This Row],[b (mm)]],AA23)^4)))*MAX(Table112348[[#This Row],[b (mm)]],AA23)*MIN(Table112348[[#This Row],[b (mm)]],AA23)^3</f>
        <v>47288656943.663506</v>
      </c>
      <c r="AH23" s="132">
        <f>Table112348[[#This Row],[b (mm)]]*AA23^3/12</f>
        <v>21254928310.34594</v>
      </c>
      <c r="AI23" s="110">
        <v>3050</v>
      </c>
      <c r="AJ23" s="106"/>
      <c r="AK23" s="106"/>
      <c r="AL23"/>
      <c r="AM23"/>
    </row>
    <row r="24" spans="1:39" s="129" customFormat="1" x14ac:dyDescent="0.25">
      <c r="A24" s="117" t="s">
        <v>177</v>
      </c>
      <c r="B24" s="117" t="s">
        <v>60</v>
      </c>
      <c r="C24" s="117">
        <v>23</v>
      </c>
      <c r="D24" s="130">
        <f>Table112348[[#This Row],[a (mm)]]/Table112348[[#This Row],[d (mm)]]</f>
        <v>2.2857142857142856</v>
      </c>
      <c r="E24" s="117">
        <v>40.032000000000004</v>
      </c>
      <c r="F24" s="127">
        <f>Table112348[[#This Row],[d (mm)]]</f>
        <v>266.7</v>
      </c>
      <c r="G24" s="110">
        <f t="shared" si="0"/>
        <v>24403.5072</v>
      </c>
      <c r="H24" s="110">
        <f t="shared" si="1"/>
        <v>2.9625767051206962E-6</v>
      </c>
      <c r="I24" s="132">
        <f>G24/(Table112348[[#This Row],[b (mm)]]*Z24^2)</f>
        <v>1.1140142625330487E-3</v>
      </c>
      <c r="J24" s="110">
        <f t="shared" si="2"/>
        <v>0.32580718501898331</v>
      </c>
      <c r="K24" s="110">
        <f t="shared" si="3"/>
        <v>1.0316714776569731E-6</v>
      </c>
      <c r="L24" s="132">
        <f>E24/(Table112348[[#This Row],[b (mm)]]*Z24)</f>
        <v>4.8738123985820887E-4</v>
      </c>
      <c r="M24" s="132">
        <f>Table112348[[#This Row],[M (KN.mm)]]/(Table112348[[#This Row],[b (mm)]]*Table112348[[#This Row],[d (mm)]])</f>
        <v>0.29710760381756413</v>
      </c>
      <c r="N24" s="132">
        <f>Table112348[[#This Row],[M (KN.mm)]]/(Table112348[[#This Row],[b (mm)]]*Table112348[[#This Row],[h (mm)]])</f>
        <v>0.34433000442432921</v>
      </c>
      <c r="O24" s="133">
        <f>Table112348[[#This Row],[M (KN.mm)]]/(Table112348[[#This Row],[b (mm)]]*Table112348[[#This Row],[h (mm)]]*Table112348[[#This Row],[L(mm)]])</f>
        <v>2.8223770854453214E-4</v>
      </c>
      <c r="P24" s="133">
        <f>Table112348[[#This Row],[M (KN.mm)]]/(Table112348[[#This Row],[b (mm)]]*Table112348[[#This Row],[d (mm)]]*Table112348[[#This Row],[L(mm)]])</f>
        <v>2.4353082280128207E-4</v>
      </c>
      <c r="Q24" s="133">
        <f>Table112348[[#This Row],[M (KN.mm)]]/(Table112348[[#This Row],[b (mm)]]*Table112348[[#This Row],[h (mm)]]*Table112348[[#This Row],[L(mm)]]*Table112348[[#This Row],[fc (Mpa)]])</f>
        <v>9.3024953376576201E-6</v>
      </c>
      <c r="R24" s="133">
        <f>Table112348[[#This Row],[M (KN.mm)]]/(Table112348[[#This Row],[b (mm)]]*Table112348[[#This Row],[h (mm)]]*Table112348[[#This Row],[L(mm)]]/2)</f>
        <v>5.6447541708906429E-4</v>
      </c>
      <c r="S24" s="133">
        <f>Table112348[[#This Row],[M (KN.mm)]]/(Table112348[[#This Row],[a (mm)]]*Table112348[[#This Row],[b (mm)]]*Table112348[[#This Row],[h (mm)]]*Table112348[[#This Row],[L(mm)]]/2)</f>
        <v>9.2597673406998757E-7</v>
      </c>
      <c r="T24" s="110">
        <f>G24/($AK$5*AH24*0.001*Table112348[[#This Row],[pho (%)]])</f>
        <v>4.7025027065407871E-6</v>
      </c>
      <c r="U24" s="133">
        <f>Table112348[[#This Row],[M (KN.mm)]]/(Table112348[[#This Row],[b (mm)]]*Table112348[[#This Row],[d (mm)]]*Table112348[[#This Row],[pho (%)]])</f>
        <v>0.4715993711389907</v>
      </c>
      <c r="V24" s="110">
        <f>E24*224.8/(2*SQRT(Table112348[[#This Row],[fc (Mpa)]]*145.037)*Table112348[[#This Row],[b (mm)]]*Table112348[[#This Row],[d (mm)]]*(1/25.4)^2)</f>
        <v>0.53278913600500633</v>
      </c>
      <c r="W24" s="110">
        <f>Table112348[[#This Row],[M (KN.mm)]]/$G$29</f>
        <v>0.33333333333333337</v>
      </c>
      <c r="X24" s="110">
        <f t="shared" si="4"/>
        <v>0.53278913600500633</v>
      </c>
      <c r="Y24" s="110">
        <f t="shared" ref="Y24:Y30" si="9">24*25.4</f>
        <v>609.59999999999991</v>
      </c>
      <c r="Z24" s="110">
        <f t="shared" ref="Z24:Z30" si="10">10.5*25.4</f>
        <v>266.7</v>
      </c>
      <c r="AA24" s="110">
        <f t="shared" ref="AA24:AA29" si="11">9.06*25.4</f>
        <v>230.124</v>
      </c>
      <c r="AB24" s="134">
        <f t="shared" ref="AB24:AB29" si="12">12.125*25.4</f>
        <v>307.97499999999997</v>
      </c>
      <c r="AC24" s="7">
        <v>30.34</v>
      </c>
      <c r="AD24" s="110">
        <f>Table112348[[#This Row],[pho (%)]]/100*Table112348[[#This Row],[b (mm)]]*Table112348[[#This Row],[h (mm)]]</f>
        <v>446.49636506999997</v>
      </c>
      <c r="AE24" s="135">
        <v>0.63</v>
      </c>
      <c r="AF24" s="110">
        <v>629</v>
      </c>
      <c r="AG24" s="132">
        <f>(1/3-0.21*(MIN(Table112348[[#This Row],[b (mm)]],AA24)/MAX(Table112348[[#This Row],[b (mm)]],AA24))*(MIN(Table112348[[#This Row],[b (mm)]],AA24)^4/(12*MAX(Table112348[[#This Row],[b (mm)]],AA24)^4)))*MAX(Table112348[[#This Row],[b (mm)]],AA24)*MIN(Table112348[[#This Row],[b (mm)]],AA24)^3</f>
        <v>1235765925.6938643</v>
      </c>
      <c r="AH24" s="132">
        <f>Table112348[[#This Row],[b (mm)]]*AA24^3/12</f>
        <v>312766305.95495635</v>
      </c>
      <c r="AI24" s="132">
        <v>1220</v>
      </c>
      <c r="AJ24" s="106"/>
      <c r="AK24" s="106"/>
      <c r="AL24"/>
      <c r="AM24"/>
    </row>
    <row r="25" spans="1:39" s="129" customFormat="1" x14ac:dyDescent="0.25">
      <c r="A25" s="117" t="s">
        <v>177</v>
      </c>
      <c r="B25" s="117" t="s">
        <v>61</v>
      </c>
      <c r="C25" s="117">
        <v>24</v>
      </c>
      <c r="D25" s="130">
        <f>Table112348[[#This Row],[a (mm)]]/Table112348[[#This Row],[d (mm)]]</f>
        <v>2.2857142857142856</v>
      </c>
      <c r="E25" s="117">
        <v>44.480000000000004</v>
      </c>
      <c r="F25" s="127">
        <f>Table112348[[#This Row],[d (mm)]]</f>
        <v>266.7</v>
      </c>
      <c r="G25" s="110">
        <f t="shared" si="0"/>
        <v>27115.007999999998</v>
      </c>
      <c r="H25" s="110">
        <f t="shared" si="1"/>
        <v>3.2917518945785508E-6</v>
      </c>
      <c r="I25" s="132">
        <f>G25/(Table112348[[#This Row],[b (mm)]]*Z25^2)</f>
        <v>1.2377936250367206E-3</v>
      </c>
      <c r="J25" s="110">
        <f t="shared" si="2"/>
        <v>0.35718121024303351</v>
      </c>
      <c r="K25" s="110">
        <f t="shared" si="3"/>
        <v>1.1463016418410811E-6</v>
      </c>
      <c r="L25" s="132">
        <f>E25/(Table112348[[#This Row],[b (mm)]]*Z25)</f>
        <v>5.4153471095356542E-4</v>
      </c>
      <c r="M25" s="132">
        <f>Table112348[[#This Row],[M (KN.mm)]]/(Table112348[[#This Row],[b (mm)]]*Table112348[[#This Row],[d (mm)]])</f>
        <v>0.3301195597972934</v>
      </c>
      <c r="N25" s="132">
        <f>Table112348[[#This Row],[M (KN.mm)]]/(Table112348[[#This Row],[b (mm)]]*Table112348[[#This Row],[h (mm)]])</f>
        <v>0.3825888938048102</v>
      </c>
      <c r="O25" s="133">
        <f>Table112348[[#This Row],[M (KN.mm)]]/(Table112348[[#This Row],[b (mm)]]*Table112348[[#This Row],[h (mm)]]*Table112348[[#This Row],[L(mm)]])</f>
        <v>3.1359745393836903E-4</v>
      </c>
      <c r="P25" s="133">
        <f>Table112348[[#This Row],[M (KN.mm)]]/(Table112348[[#This Row],[b (mm)]]*Table112348[[#This Row],[d (mm)]]*Table112348[[#This Row],[L(mm)]])</f>
        <v>2.7058980311253557E-4</v>
      </c>
      <c r="Q25" s="133">
        <f>Table112348[[#This Row],[M (KN.mm)]]/(Table112348[[#This Row],[b (mm)]]*Table112348[[#This Row],[h (mm)]]*Table112348[[#This Row],[L(mm)]]*Table112348[[#This Row],[fc (Mpa)]])</f>
        <v>1.0336105930730688E-5</v>
      </c>
      <c r="R25" s="133">
        <f>Table112348[[#This Row],[M (KN.mm)]]/(Table112348[[#This Row],[b (mm)]]*Table112348[[#This Row],[h (mm)]]*Table112348[[#This Row],[L(mm)]]/2)</f>
        <v>6.2719490787673806E-4</v>
      </c>
      <c r="S25" s="133">
        <f>Table112348[[#This Row],[M (KN.mm)]]/(Table112348[[#This Row],[a (mm)]]*Table112348[[#This Row],[b (mm)]]*Table112348[[#This Row],[h (mm)]]*Table112348[[#This Row],[L(mm)]]/2)</f>
        <v>1.0288630378555417E-6</v>
      </c>
      <c r="T25" s="110">
        <f>G25/($AK$5*AH25*0.001*Table112348[[#This Row],[pho (%)]])</f>
        <v>5.2250030072675408E-6</v>
      </c>
      <c r="U25" s="133">
        <f>Table112348[[#This Row],[M (KN.mm)]]/(Table112348[[#This Row],[b (mm)]]*Table112348[[#This Row],[d (mm)]]*Table112348[[#This Row],[pho (%)]])</f>
        <v>0.52399930126554517</v>
      </c>
      <c r="V25" s="110">
        <f>E25*224.8/(2*SQRT(Table112348[[#This Row],[fc (Mpa)]]*145.037)*Table112348[[#This Row],[b (mm)]]*Table112348[[#This Row],[d (mm)]]*(1/25.4)^2)</f>
        <v>0.59198792889445151</v>
      </c>
      <c r="W25" s="110">
        <f>Table112348[[#This Row],[M (KN.mm)]]/$G$29</f>
        <v>0.37037037037037041</v>
      </c>
      <c r="X25" s="110">
        <f t="shared" si="4"/>
        <v>0.59198792889445151</v>
      </c>
      <c r="Y25" s="110">
        <f t="shared" si="9"/>
        <v>609.59999999999991</v>
      </c>
      <c r="Z25" s="110">
        <f t="shared" si="10"/>
        <v>266.7</v>
      </c>
      <c r="AA25" s="110">
        <f t="shared" si="11"/>
        <v>230.124</v>
      </c>
      <c r="AB25" s="134">
        <f t="shared" si="12"/>
        <v>307.97499999999997</v>
      </c>
      <c r="AC25" s="7">
        <v>30.34</v>
      </c>
      <c r="AD25" s="110">
        <f>Table112348[[#This Row],[pho (%)]]/100*Table112348[[#This Row],[b (mm)]]*Table112348[[#This Row],[h (mm)]]</f>
        <v>446.49636506999997</v>
      </c>
      <c r="AE25" s="135">
        <v>0.63</v>
      </c>
      <c r="AF25" s="110">
        <v>637.5</v>
      </c>
      <c r="AG25" s="132">
        <f>(1/3-0.21*(MIN(Table112348[[#This Row],[b (mm)]],AA25)/MAX(Table112348[[#This Row],[b (mm)]],AA25))*(MIN(Table112348[[#This Row],[b (mm)]],AA25)^4/(12*MAX(Table112348[[#This Row],[b (mm)]],AA25)^4)))*MAX(Table112348[[#This Row],[b (mm)]],AA25)*MIN(Table112348[[#This Row],[b (mm)]],AA25)^3</f>
        <v>1235765925.6938643</v>
      </c>
      <c r="AH25" s="132">
        <f>Table112348[[#This Row],[b (mm)]]*AA25^3/12</f>
        <v>312766305.95495635</v>
      </c>
      <c r="AI25" s="132">
        <v>1220</v>
      </c>
      <c r="AJ25" s="106"/>
      <c r="AK25" s="106"/>
      <c r="AL25"/>
      <c r="AM25"/>
    </row>
    <row r="26" spans="1:39" s="129" customFormat="1" x14ac:dyDescent="0.25">
      <c r="A26" s="117" t="s">
        <v>177</v>
      </c>
      <c r="B26" s="117" t="s">
        <v>62</v>
      </c>
      <c r="C26" s="117">
        <v>25</v>
      </c>
      <c r="D26" s="130">
        <f>Table112348[[#This Row],[a (mm)]]/Table112348[[#This Row],[d (mm)]]</f>
        <v>2.2857142857142856</v>
      </c>
      <c r="E26" s="117">
        <v>80.064000000000007</v>
      </c>
      <c r="F26" s="127">
        <f>Table112348[[#This Row],[d (mm)]]</f>
        <v>266.7</v>
      </c>
      <c r="G26" s="110">
        <f t="shared" si="0"/>
        <v>48807.0144</v>
      </c>
      <c r="H26" s="110">
        <f t="shared" si="1"/>
        <v>5.9251534102413923E-6</v>
      </c>
      <c r="I26" s="132">
        <f>G26/(Table112348[[#This Row],[b (mm)]]*Z26^2)</f>
        <v>2.2280285250660973E-3</v>
      </c>
      <c r="J26" s="110">
        <f t="shared" si="2"/>
        <v>0.64292617843746036</v>
      </c>
      <c r="K26" s="110">
        <f t="shared" si="3"/>
        <v>2.0633429553139463E-6</v>
      </c>
      <c r="L26" s="132">
        <f>E26/(Table112348[[#This Row],[b (mm)]]*Z26)</f>
        <v>9.7476247971641774E-4</v>
      </c>
      <c r="M26" s="132">
        <f>Table112348[[#This Row],[M (KN.mm)]]/(Table112348[[#This Row],[b (mm)]]*Table112348[[#This Row],[d (mm)]])</f>
        <v>0.59421520763512825</v>
      </c>
      <c r="N26" s="132">
        <f>Table112348[[#This Row],[M (KN.mm)]]/(Table112348[[#This Row],[b (mm)]]*Table112348[[#This Row],[h (mm)]])</f>
        <v>0.68866000884865841</v>
      </c>
      <c r="O26" s="133">
        <f>Table112348[[#This Row],[M (KN.mm)]]/(Table112348[[#This Row],[b (mm)]]*Table112348[[#This Row],[h (mm)]]*Table112348[[#This Row],[L(mm)]])</f>
        <v>5.6447541708906429E-4</v>
      </c>
      <c r="P26" s="133">
        <f>Table112348[[#This Row],[M (KN.mm)]]/(Table112348[[#This Row],[b (mm)]]*Table112348[[#This Row],[d (mm)]]*Table112348[[#This Row],[L(mm)]])</f>
        <v>4.8706164560256414E-4</v>
      </c>
      <c r="Q26" s="133">
        <f>Table112348[[#This Row],[M (KN.mm)]]/(Table112348[[#This Row],[b (mm)]]*Table112348[[#This Row],[h (mm)]]*Table112348[[#This Row],[L(mm)]]*Table112348[[#This Row],[fc (Mpa)]])</f>
        <v>1.860499067531524E-5</v>
      </c>
      <c r="R26" s="133">
        <f>Table112348[[#This Row],[M (KN.mm)]]/(Table112348[[#This Row],[b (mm)]]*Table112348[[#This Row],[h (mm)]]*Table112348[[#This Row],[L(mm)]]/2)</f>
        <v>1.1289508341781286E-3</v>
      </c>
      <c r="S26" s="133">
        <f>Table112348[[#This Row],[M (KN.mm)]]/(Table112348[[#This Row],[a (mm)]]*Table112348[[#This Row],[b (mm)]]*Table112348[[#This Row],[h (mm)]]*Table112348[[#This Row],[L(mm)]]/2)</f>
        <v>1.8519534681399751E-6</v>
      </c>
      <c r="T26" s="110">
        <f>G26/($AK$5*AH26*0.001*Table112348[[#This Row],[pho (%)]])</f>
        <v>9.4050054130815741E-6</v>
      </c>
      <c r="U26" s="133">
        <f>Table112348[[#This Row],[M (KN.mm)]]/(Table112348[[#This Row],[b (mm)]]*Table112348[[#This Row],[d (mm)]]*Table112348[[#This Row],[pho (%)]])</f>
        <v>0.94319874227798139</v>
      </c>
      <c r="V26" s="110">
        <f>E26*224.8/(2*SQRT(Table112348[[#This Row],[fc (Mpa)]]*145.037)*Table112348[[#This Row],[b (mm)]]*Table112348[[#This Row],[d (mm)]]*(1/25.4)^2)</f>
        <v>1.0655782720100127</v>
      </c>
      <c r="W26" s="110">
        <f>Table112348[[#This Row],[M (KN.mm)]]/$G$29</f>
        <v>0.66666666666666674</v>
      </c>
      <c r="X26" s="110">
        <f t="shared" si="4"/>
        <v>1.0655782720100127</v>
      </c>
      <c r="Y26" s="110">
        <f t="shared" si="9"/>
        <v>609.59999999999991</v>
      </c>
      <c r="Z26" s="110">
        <f t="shared" si="10"/>
        <v>266.7</v>
      </c>
      <c r="AA26" s="110">
        <f t="shared" si="11"/>
        <v>230.124</v>
      </c>
      <c r="AB26" s="134">
        <f t="shared" si="12"/>
        <v>307.97499999999997</v>
      </c>
      <c r="AC26" s="7">
        <v>30.34</v>
      </c>
      <c r="AD26" s="110">
        <f>Table112348[[#This Row],[pho (%)]]/100*Table112348[[#This Row],[b (mm)]]*Table112348[[#This Row],[h (mm)]]</f>
        <v>446.49636506999997</v>
      </c>
      <c r="AE26" s="135">
        <v>0.63</v>
      </c>
      <c r="AF26" s="110">
        <v>637.5</v>
      </c>
      <c r="AG26" s="132">
        <f>(1/3-0.21*(MIN(Table112348[[#This Row],[b (mm)]],AA26)/MAX(Table112348[[#This Row],[b (mm)]],AA26))*(MIN(Table112348[[#This Row],[b (mm)]],AA26)^4/(12*MAX(Table112348[[#This Row],[b (mm)]],AA26)^4)))*MAX(Table112348[[#This Row],[b (mm)]],AA26)*MIN(Table112348[[#This Row],[b (mm)]],AA26)^3</f>
        <v>1235765925.6938643</v>
      </c>
      <c r="AH26" s="132">
        <f>Table112348[[#This Row],[b (mm)]]*AA26^3/12</f>
        <v>312766305.95495635</v>
      </c>
      <c r="AI26" s="132">
        <v>1220</v>
      </c>
      <c r="AJ26" s="106"/>
      <c r="AK26" s="106"/>
      <c r="AL26"/>
      <c r="AM26"/>
    </row>
    <row r="27" spans="1:39" s="129" customFormat="1" x14ac:dyDescent="0.25">
      <c r="A27" s="117" t="s">
        <v>177</v>
      </c>
      <c r="B27" s="117" t="s">
        <v>63</v>
      </c>
      <c r="C27" s="117">
        <v>26</v>
      </c>
      <c r="D27" s="130">
        <f>Table112348[[#This Row],[a (mm)]]/Table112348[[#This Row],[d (mm)]]</f>
        <v>2.2857142857142856</v>
      </c>
      <c r="E27" s="117">
        <v>93.408000000000015</v>
      </c>
      <c r="F27" s="127">
        <f>Table112348[[#This Row],[d (mm)]]</f>
        <v>266.7</v>
      </c>
      <c r="G27" s="110">
        <f t="shared" si="0"/>
        <v>56941.516799999998</v>
      </c>
      <c r="H27" s="110">
        <f t="shared" si="1"/>
        <v>6.9126789786149574E-6</v>
      </c>
      <c r="I27" s="132">
        <f>G27/(Table112348[[#This Row],[b (mm)]]*Z27^2)</f>
        <v>2.5993666125771133E-3</v>
      </c>
      <c r="J27" s="110">
        <f t="shared" si="2"/>
        <v>0.7500805415103704</v>
      </c>
      <c r="K27" s="110">
        <f t="shared" si="3"/>
        <v>2.4072334478662707E-6</v>
      </c>
      <c r="L27" s="132">
        <f>E27/(Table112348[[#This Row],[b (mm)]]*Z27)</f>
        <v>1.1372228930024875E-3</v>
      </c>
      <c r="M27" s="132">
        <f>Table112348[[#This Row],[M (KN.mm)]]/(Table112348[[#This Row],[b (mm)]]*Table112348[[#This Row],[d (mm)]])</f>
        <v>0.6932510755743162</v>
      </c>
      <c r="N27" s="132">
        <f>Table112348[[#This Row],[M (KN.mm)]]/(Table112348[[#This Row],[b (mm)]]*Table112348[[#This Row],[h (mm)]])</f>
        <v>0.80343667699010146</v>
      </c>
      <c r="O27" s="133">
        <f>Table112348[[#This Row],[M (KN.mm)]]/(Table112348[[#This Row],[b (mm)]]*Table112348[[#This Row],[h (mm)]]*Table112348[[#This Row],[L(mm)]])</f>
        <v>6.58554653270575E-4</v>
      </c>
      <c r="P27" s="133">
        <f>Table112348[[#This Row],[M (KN.mm)]]/(Table112348[[#This Row],[b (mm)]]*Table112348[[#This Row],[d (mm)]]*Table112348[[#This Row],[L(mm)]])</f>
        <v>5.6823858653632482E-4</v>
      </c>
      <c r="Q27" s="133">
        <f>Table112348[[#This Row],[M (KN.mm)]]/(Table112348[[#This Row],[b (mm)]]*Table112348[[#This Row],[h (mm)]]*Table112348[[#This Row],[L(mm)]]*Table112348[[#This Row],[fc (Mpa)]])</f>
        <v>2.1705822454534446E-5</v>
      </c>
      <c r="R27" s="133">
        <f>Table112348[[#This Row],[M (KN.mm)]]/(Table112348[[#This Row],[b (mm)]]*Table112348[[#This Row],[h (mm)]]*Table112348[[#This Row],[L(mm)]]/2)</f>
        <v>1.31710930654115E-3</v>
      </c>
      <c r="S27" s="133">
        <f>Table112348[[#This Row],[M (KN.mm)]]/(Table112348[[#This Row],[a (mm)]]*Table112348[[#This Row],[b (mm)]]*Table112348[[#This Row],[h (mm)]]*Table112348[[#This Row],[L(mm)]]/2)</f>
        <v>2.1606123794966377E-6</v>
      </c>
      <c r="T27" s="110">
        <f>G27/($AK$5*AH27*0.001*Table112348[[#This Row],[pho (%)]])</f>
        <v>1.0972506315261836E-5</v>
      </c>
      <c r="U27" s="133">
        <f>Table112348[[#This Row],[M (KN.mm)]]/(Table112348[[#This Row],[b (mm)]]*Table112348[[#This Row],[d (mm)]]*Table112348[[#This Row],[pho (%)]])</f>
        <v>1.1003985326576449</v>
      </c>
      <c r="V27" s="110">
        <f>E27*224.8/(2*SQRT(Table112348[[#This Row],[fc (Mpa)]]*145.037)*Table112348[[#This Row],[b (mm)]]*Table112348[[#This Row],[d (mm)]]*(1/25.4)^2)</f>
        <v>1.2431746506783481</v>
      </c>
      <c r="W27" s="110">
        <f>Table112348[[#This Row],[M (KN.mm)]]/$G$29</f>
        <v>0.77777777777777779</v>
      </c>
      <c r="X27" s="110">
        <f t="shared" si="4"/>
        <v>1.2431746506783481</v>
      </c>
      <c r="Y27" s="110">
        <f t="shared" si="9"/>
        <v>609.59999999999991</v>
      </c>
      <c r="Z27" s="110">
        <f t="shared" si="10"/>
        <v>266.7</v>
      </c>
      <c r="AA27" s="110">
        <f t="shared" si="11"/>
        <v>230.124</v>
      </c>
      <c r="AB27" s="134">
        <f t="shared" si="12"/>
        <v>307.97499999999997</v>
      </c>
      <c r="AC27" s="7">
        <v>30.34</v>
      </c>
      <c r="AD27" s="110">
        <f>Table112348[[#This Row],[pho (%)]]/100*Table112348[[#This Row],[b (mm)]]*Table112348[[#This Row],[h (mm)]]</f>
        <v>446.49636506999997</v>
      </c>
      <c r="AE27" s="135">
        <v>0.63</v>
      </c>
      <c r="AF27" s="110">
        <v>637.5</v>
      </c>
      <c r="AG27" s="132">
        <f>(1/3-0.21*(MIN(Table112348[[#This Row],[b (mm)]],AA27)/MAX(Table112348[[#This Row],[b (mm)]],AA27))*(MIN(Table112348[[#This Row],[b (mm)]],AA27)^4/(12*MAX(Table112348[[#This Row],[b (mm)]],AA27)^4)))*MAX(Table112348[[#This Row],[b (mm)]],AA27)*MIN(Table112348[[#This Row],[b (mm)]],AA27)^3</f>
        <v>1235765925.6938643</v>
      </c>
      <c r="AH27" s="132">
        <f>Table112348[[#This Row],[b (mm)]]*AA27^3/12</f>
        <v>312766305.95495635</v>
      </c>
      <c r="AI27" s="132">
        <v>1220</v>
      </c>
      <c r="AJ27" s="106"/>
      <c r="AK27" s="106"/>
      <c r="AL27"/>
      <c r="AM27"/>
    </row>
    <row r="28" spans="1:39" s="129" customFormat="1" x14ac:dyDescent="0.25">
      <c r="A28" s="117" t="s">
        <v>177</v>
      </c>
      <c r="B28" s="117" t="s">
        <v>64</v>
      </c>
      <c r="C28" s="117">
        <v>27</v>
      </c>
      <c r="D28" s="130">
        <f>Table112348[[#This Row],[a (mm)]]/Table112348[[#This Row],[d (mm)]]</f>
        <v>2.2857142857142856</v>
      </c>
      <c r="E28" s="117">
        <v>106.75200000000001</v>
      </c>
      <c r="F28" s="127">
        <f>Table112348[[#This Row],[d (mm)]]</f>
        <v>266.7</v>
      </c>
      <c r="G28" s="110">
        <f t="shared" si="0"/>
        <v>65076.019199999995</v>
      </c>
      <c r="H28" s="110">
        <f t="shared" si="1"/>
        <v>7.9002045469885225E-6</v>
      </c>
      <c r="I28" s="132">
        <f>G28/(Table112348[[#This Row],[b (mm)]]*Z28^2)</f>
        <v>2.9707047000881296E-3</v>
      </c>
      <c r="J28" s="110">
        <f t="shared" si="2"/>
        <v>0.85723490458328033</v>
      </c>
      <c r="K28" s="110">
        <f t="shared" si="3"/>
        <v>2.751123940418595E-6</v>
      </c>
      <c r="L28" s="132">
        <f>E28/(Table112348[[#This Row],[b (mm)]]*Z28)</f>
        <v>1.2996833062885571E-3</v>
      </c>
      <c r="M28" s="132">
        <f>Table112348[[#This Row],[M (KN.mm)]]/(Table112348[[#This Row],[b (mm)]]*Table112348[[#This Row],[d (mm)]])</f>
        <v>0.79228694351350426</v>
      </c>
      <c r="N28" s="132">
        <f>Table112348[[#This Row],[M (KN.mm)]]/(Table112348[[#This Row],[b (mm)]]*Table112348[[#This Row],[h (mm)]])</f>
        <v>0.91821334513154451</v>
      </c>
      <c r="O28" s="133">
        <f>Table112348[[#This Row],[M (KN.mm)]]/(Table112348[[#This Row],[b (mm)]]*Table112348[[#This Row],[h (mm)]]*Table112348[[#This Row],[L(mm)]])</f>
        <v>7.5263388945208572E-4</v>
      </c>
      <c r="P28" s="133">
        <f>Table112348[[#This Row],[M (KN.mm)]]/(Table112348[[#This Row],[b (mm)]]*Table112348[[#This Row],[d (mm)]]*Table112348[[#This Row],[L(mm)]])</f>
        <v>6.4941552747008549E-4</v>
      </c>
      <c r="Q28" s="133">
        <f>Table112348[[#This Row],[M (KN.mm)]]/(Table112348[[#This Row],[b (mm)]]*Table112348[[#This Row],[h (mm)]]*Table112348[[#This Row],[L(mm)]]*Table112348[[#This Row],[fc (Mpa)]])</f>
        <v>2.4806654233753651E-5</v>
      </c>
      <c r="R28" s="133">
        <f>Table112348[[#This Row],[M (KN.mm)]]/(Table112348[[#This Row],[b (mm)]]*Table112348[[#This Row],[h (mm)]]*Table112348[[#This Row],[L(mm)]]/2)</f>
        <v>1.5052677789041714E-3</v>
      </c>
      <c r="S28" s="133">
        <f>Table112348[[#This Row],[M (KN.mm)]]/(Table112348[[#This Row],[a (mm)]]*Table112348[[#This Row],[b (mm)]]*Table112348[[#This Row],[h (mm)]]*Table112348[[#This Row],[L(mm)]]/2)</f>
        <v>2.4692712908532998E-6</v>
      </c>
      <c r="T28" s="110">
        <f>G28/($AK$5*AH28*0.001*Table112348[[#This Row],[pho (%)]])</f>
        <v>1.2540007217442098E-5</v>
      </c>
      <c r="U28" s="133">
        <f>Table112348[[#This Row],[M (KN.mm)]]/(Table112348[[#This Row],[b (mm)]]*Table112348[[#This Row],[d (mm)]]*Table112348[[#This Row],[pho (%)]])</f>
        <v>1.2575983230373085</v>
      </c>
      <c r="V28" s="110">
        <f>E28*224.8/(2*SQRT(Table112348[[#This Row],[fc (Mpa)]]*145.037)*Table112348[[#This Row],[b (mm)]]*Table112348[[#This Row],[d (mm)]]*(1/25.4)^2)</f>
        <v>1.4207710293466838</v>
      </c>
      <c r="W28" s="110">
        <f>Table112348[[#This Row],[M (KN.mm)]]/$G$29</f>
        <v>0.88888888888888895</v>
      </c>
      <c r="X28" s="110">
        <f t="shared" si="4"/>
        <v>1.4207710293466838</v>
      </c>
      <c r="Y28" s="110">
        <f t="shared" si="9"/>
        <v>609.59999999999991</v>
      </c>
      <c r="Z28" s="110">
        <f t="shared" si="10"/>
        <v>266.7</v>
      </c>
      <c r="AA28" s="110">
        <f t="shared" si="11"/>
        <v>230.124</v>
      </c>
      <c r="AB28" s="134">
        <f t="shared" si="12"/>
        <v>307.97499999999997</v>
      </c>
      <c r="AC28" s="7">
        <v>30.34</v>
      </c>
      <c r="AD28" s="110">
        <f>Table112348[[#This Row],[pho (%)]]/100*Table112348[[#This Row],[b (mm)]]*Table112348[[#This Row],[h (mm)]]</f>
        <v>446.49636506999997</v>
      </c>
      <c r="AE28" s="135">
        <v>0.63</v>
      </c>
      <c r="AF28" s="110">
        <v>637.5</v>
      </c>
      <c r="AG28" s="132">
        <f>(1/3-0.21*(MIN(Table112348[[#This Row],[b (mm)]],AA28)/MAX(Table112348[[#This Row],[b (mm)]],AA28))*(MIN(Table112348[[#This Row],[b (mm)]],AA28)^4/(12*MAX(Table112348[[#This Row],[b (mm)]],AA28)^4)))*MAX(Table112348[[#This Row],[b (mm)]],AA28)*MIN(Table112348[[#This Row],[b (mm)]],AA28)^3</f>
        <v>1235765925.6938643</v>
      </c>
      <c r="AH28" s="132">
        <f>Table112348[[#This Row],[b (mm)]]*AA28^3/12</f>
        <v>312766305.95495635</v>
      </c>
      <c r="AI28" s="132">
        <v>1220</v>
      </c>
      <c r="AJ28" s="106"/>
      <c r="AK28" s="106"/>
      <c r="AL28"/>
      <c r="AM28"/>
    </row>
    <row r="29" spans="1:39" s="129" customFormat="1" x14ac:dyDescent="0.25">
      <c r="A29" s="117" t="s">
        <v>177</v>
      </c>
      <c r="B29" s="117" t="s">
        <v>65</v>
      </c>
      <c r="C29" s="117">
        <v>28</v>
      </c>
      <c r="D29" s="130">
        <f>Table112348[[#This Row],[a (mm)]]/Table112348[[#This Row],[d (mm)]]</f>
        <v>2.2857142857142856</v>
      </c>
      <c r="E29" s="117">
        <v>120.096</v>
      </c>
      <c r="F29" s="127">
        <f>Table112348[[#This Row],[d (mm)]]</f>
        <v>266.7</v>
      </c>
      <c r="G29" s="110">
        <f t="shared" si="0"/>
        <v>73210.521599999993</v>
      </c>
      <c r="H29" s="110">
        <f t="shared" si="1"/>
        <v>8.8877301153620877E-6</v>
      </c>
      <c r="I29" s="132">
        <f>G29/(Table112348[[#This Row],[b (mm)]]*Z29^2)</f>
        <v>3.3420427875991456E-3</v>
      </c>
      <c r="J29" s="110">
        <f t="shared" si="2"/>
        <v>0.96438926765619037</v>
      </c>
      <c r="K29" s="110">
        <f t="shared" si="3"/>
        <v>3.095014432970919E-6</v>
      </c>
      <c r="L29" s="132">
        <f>E29/(Table112348[[#This Row],[b (mm)]]*Z29)</f>
        <v>1.4621437195746266E-3</v>
      </c>
      <c r="M29" s="132">
        <f>Table112348[[#This Row],[M (KN.mm)]]/(Table112348[[#This Row],[b (mm)]]*Table112348[[#This Row],[d (mm)]])</f>
        <v>0.89132281145269221</v>
      </c>
      <c r="N29" s="132">
        <f>Table112348[[#This Row],[M (KN.mm)]]/(Table112348[[#This Row],[b (mm)]]*Table112348[[#This Row],[h (mm)]])</f>
        <v>1.0329900132729875</v>
      </c>
      <c r="O29" s="133">
        <f>Table112348[[#This Row],[M (KN.mm)]]/(Table112348[[#This Row],[b (mm)]]*Table112348[[#This Row],[h (mm)]]*Table112348[[#This Row],[L(mm)]])</f>
        <v>8.4671312563359643E-4</v>
      </c>
      <c r="P29" s="133">
        <f>Table112348[[#This Row],[M (KN.mm)]]/(Table112348[[#This Row],[b (mm)]]*Table112348[[#This Row],[d (mm)]]*Table112348[[#This Row],[L(mm)]])</f>
        <v>7.3059246840384605E-4</v>
      </c>
      <c r="Q29" s="133">
        <f>Table112348[[#This Row],[M (KN.mm)]]/(Table112348[[#This Row],[b (mm)]]*Table112348[[#This Row],[h (mm)]]*Table112348[[#This Row],[L(mm)]]*Table112348[[#This Row],[fc (Mpa)]])</f>
        <v>2.7907486012972857E-5</v>
      </c>
      <c r="R29" s="133">
        <f>Table112348[[#This Row],[M (KN.mm)]]/(Table112348[[#This Row],[b (mm)]]*Table112348[[#This Row],[h (mm)]]*Table112348[[#This Row],[L(mm)]]/2)</f>
        <v>1.6934262512671929E-3</v>
      </c>
      <c r="S29" s="133">
        <f>Table112348[[#This Row],[M (KN.mm)]]/(Table112348[[#This Row],[a (mm)]]*Table112348[[#This Row],[b (mm)]]*Table112348[[#This Row],[h (mm)]]*Table112348[[#This Row],[L(mm)]]/2)</f>
        <v>2.7779302022099623E-6</v>
      </c>
      <c r="T29" s="110">
        <f>G29/($AK$5*AH29*0.001*Table112348[[#This Row],[pho (%)]])</f>
        <v>1.410750811962236E-5</v>
      </c>
      <c r="U29" s="133">
        <f>Table112348[[#This Row],[M (KN.mm)]]/(Table112348[[#This Row],[b (mm)]]*Table112348[[#This Row],[d (mm)]]*Table112348[[#This Row],[pho (%)]])</f>
        <v>1.4147981134169718</v>
      </c>
      <c r="V29" s="110">
        <f>E29*224.8/(2*SQRT(Table112348[[#This Row],[fc (Mpa)]]*145.037)*Table112348[[#This Row],[b (mm)]]*Table112348[[#This Row],[d (mm)]]*(1/25.4)^2)</f>
        <v>1.598367408015019</v>
      </c>
      <c r="W29" s="110">
        <f>Table112348[[#This Row],[M (KN.mm)]]/$G$29</f>
        <v>1</v>
      </c>
      <c r="X29" s="110">
        <f t="shared" si="4"/>
        <v>1.598367408015019</v>
      </c>
      <c r="Y29" s="110">
        <f t="shared" si="9"/>
        <v>609.59999999999991</v>
      </c>
      <c r="Z29" s="110">
        <f t="shared" si="10"/>
        <v>266.7</v>
      </c>
      <c r="AA29" s="110">
        <f t="shared" si="11"/>
        <v>230.124</v>
      </c>
      <c r="AB29" s="134">
        <f t="shared" si="12"/>
        <v>307.97499999999997</v>
      </c>
      <c r="AC29" s="7">
        <v>30.34</v>
      </c>
      <c r="AD29" s="110">
        <f>Table112348[[#This Row],[pho (%)]]/100*Table112348[[#This Row],[b (mm)]]*Table112348[[#This Row],[h (mm)]]</f>
        <v>446.49636506999997</v>
      </c>
      <c r="AE29" s="135">
        <v>0.63</v>
      </c>
      <c r="AF29" s="110">
        <v>637.5</v>
      </c>
      <c r="AG29" s="132">
        <f>(1/3-0.21*(MIN(Table112348[[#This Row],[b (mm)]],AA29)/MAX(Table112348[[#This Row],[b (mm)]],AA29))*(MIN(Table112348[[#This Row],[b (mm)]],AA29)^4/(12*MAX(Table112348[[#This Row],[b (mm)]],AA29)^4)))*MAX(Table112348[[#This Row],[b (mm)]],AA29)*MIN(Table112348[[#This Row],[b (mm)]],AA29)^3</f>
        <v>1235765925.6938643</v>
      </c>
      <c r="AH29" s="132">
        <f>Table112348[[#This Row],[b (mm)]]*AA29^3/12</f>
        <v>312766305.95495635</v>
      </c>
      <c r="AI29" s="132">
        <v>1220</v>
      </c>
      <c r="AJ29" s="106"/>
      <c r="AK29" s="106"/>
      <c r="AL29"/>
      <c r="AM29"/>
    </row>
    <row r="30" spans="1:39" s="129" customFormat="1" x14ac:dyDescent="0.25">
      <c r="A30" s="119" t="s">
        <v>178</v>
      </c>
      <c r="B30" s="119" t="s">
        <v>60</v>
      </c>
      <c r="C30" s="119">
        <v>29</v>
      </c>
      <c r="D30" s="130">
        <f>Table112348[[#This Row],[a (mm)]]/Table112348[[#This Row],[d (mm)]]</f>
        <v>2.2857142857142856</v>
      </c>
      <c r="E30" s="119">
        <v>53.376000000000005</v>
      </c>
      <c r="F30" s="127">
        <f>Table112348[[#This Row],[d (mm)]]</f>
        <v>266.7</v>
      </c>
      <c r="G30" s="110">
        <f t="shared" si="0"/>
        <v>32538.009599999998</v>
      </c>
      <c r="H30" s="110">
        <f t="shared" si="1"/>
        <v>2.1861919207033866E-6</v>
      </c>
      <c r="I30" s="132">
        <f>G30/(Table112348[[#This Row],[b (mm)]]*Z30^2)</f>
        <v>2.0010996938093651E-3</v>
      </c>
      <c r="J30" s="110">
        <f t="shared" si="2"/>
        <v>0.42725161433642039</v>
      </c>
      <c r="K30" s="110">
        <f t="shared" si="3"/>
        <v>1.3950724354866336E-6</v>
      </c>
      <c r="L30" s="132">
        <f>E30/(Table112348[[#This Row],[b (mm)]]*Z30)</f>
        <v>8.7548111604159734E-4</v>
      </c>
      <c r="M30" s="132">
        <f>Table112348[[#This Row],[M (KN.mm)]]/(Table112348[[#This Row],[b (mm)]]*Table112348[[#This Row],[d (mm)]])</f>
        <v>0.53369328833895768</v>
      </c>
      <c r="N30" s="132">
        <f>Table112348[[#This Row],[M (KN.mm)]]/(Table112348[[#This Row],[b (mm)]]*Table112348[[#This Row],[h (mm)]])</f>
        <v>0.45979729456894808</v>
      </c>
      <c r="O30" s="133">
        <f>Table112348[[#This Row],[M (KN.mm)]]/(Table112348[[#This Row],[b (mm)]]*Table112348[[#This Row],[h (mm)]]*Table112348[[#This Row],[L(mm)]])</f>
        <v>3.7688302833520333E-4</v>
      </c>
      <c r="P30" s="133">
        <f>Table112348[[#This Row],[M (KN.mm)]]/(Table112348[[#This Row],[b (mm)]]*Table112348[[#This Row],[d (mm)]]*Table112348[[#This Row],[L(mm)]])</f>
        <v>4.3745351503193249E-4</v>
      </c>
      <c r="Q30" s="133">
        <f>Table112348[[#This Row],[M (KN.mm)]]/(Table112348[[#This Row],[b (mm)]]*Table112348[[#This Row],[h (mm)]]*Table112348[[#This Row],[L(mm)]]*Table112348[[#This Row],[fc (Mpa)]])</f>
        <v>1.2145763078801268E-5</v>
      </c>
      <c r="R30" s="133">
        <f>Table112348[[#This Row],[M (KN.mm)]]/(Table112348[[#This Row],[b (mm)]]*Table112348[[#This Row],[h (mm)]]*Table112348[[#This Row],[L(mm)]]/2)</f>
        <v>7.5376605667040665E-4</v>
      </c>
      <c r="S30" s="133">
        <f>Table112348[[#This Row],[M (KN.mm)]]/(Table112348[[#This Row],[a (mm)]]*Table112348[[#This Row],[b (mm)]]*Table112348[[#This Row],[h (mm)]]*Table112348[[#This Row],[L(mm)]]/2)</f>
        <v>1.236492875115497E-6</v>
      </c>
      <c r="T30" s="110">
        <f>G30/($AK$5*AH30*0.001*Table112348[[#This Row],[pho (%)]])</f>
        <v>3.4701459058783914E-6</v>
      </c>
      <c r="U30" s="133">
        <f>Table112348[[#This Row],[M (KN.mm)]]/(Table112348[[#This Row],[b (mm)]]*Table112348[[#This Row],[d (mm)]]*Table112348[[#This Row],[pho (%)]])</f>
        <v>0.84713220371263109</v>
      </c>
      <c r="V30" s="110">
        <f>E30*224.8/(2*SQRT(Table112348[[#This Row],[fc (Mpa)]]*145.037)*Table112348[[#This Row],[b (mm)]]*Table112348[[#This Row],[d (mm)]]*(1/25.4)^2)</f>
        <v>0.94634662042128714</v>
      </c>
      <c r="W30" s="110">
        <f>Table112348[[#This Row],[M (KN.mm)]]/$G$36</f>
        <v>0.4</v>
      </c>
      <c r="X30" s="110">
        <f t="shared" si="4"/>
        <v>0.94634662042128714</v>
      </c>
      <c r="Y30" s="110">
        <f t="shared" si="9"/>
        <v>609.59999999999991</v>
      </c>
      <c r="Z30" s="110">
        <f t="shared" si="10"/>
        <v>266.7</v>
      </c>
      <c r="AA30" s="110">
        <f>12.1875*25.4</f>
        <v>309.5625</v>
      </c>
      <c r="AB30" s="134">
        <f>9*25.4</f>
        <v>228.6</v>
      </c>
      <c r="AC30" s="7">
        <v>31.03</v>
      </c>
      <c r="AD30" s="110">
        <f>Table112348[[#This Row],[pho (%)]]/100*Table112348[[#This Row],[b (mm)]]*Table112348[[#This Row],[h (mm)]]</f>
        <v>445.82572125000002</v>
      </c>
      <c r="AE30" s="135">
        <v>0.63</v>
      </c>
      <c r="AF30" s="110">
        <v>640.5</v>
      </c>
      <c r="AG30" s="132">
        <f>(1/3-0.21*(MIN(Table112348[[#This Row],[b (mm)]],AA30)/MAX(Table112348[[#This Row],[b (mm)]],AA30))*(MIN(Table112348[[#This Row],[b (mm)]],AA30)^4/(12*MAX(Table112348[[#This Row],[b (mm)]],AA30)^4)))*MAX(Table112348[[#This Row],[b (mm)]],AA30)*MIN(Table112348[[#This Row],[b (mm)]],AA30)^3</f>
        <v>1218483405.0369673</v>
      </c>
      <c r="AH30" s="132">
        <f>Table112348[[#This Row],[b (mm)]]*AA30^3/12</f>
        <v>565119139.14107668</v>
      </c>
      <c r="AI30" s="132">
        <v>1220</v>
      </c>
      <c r="AJ30" s="106"/>
      <c r="AK30" s="106"/>
      <c r="AL30"/>
      <c r="AM30"/>
    </row>
    <row r="31" spans="1:39" x14ac:dyDescent="0.25">
      <c r="A31" s="119" t="s">
        <v>178</v>
      </c>
      <c r="B31" s="119" t="s">
        <v>61</v>
      </c>
      <c r="C31" s="119">
        <v>30</v>
      </c>
      <c r="D31" s="130">
        <f>Table112348[[#This Row],[a (mm)]]/Table112348[[#This Row],[d (mm)]]</f>
        <v>2.2857142857142856</v>
      </c>
      <c r="E31" s="119">
        <v>66.72</v>
      </c>
      <c r="F31" s="127">
        <f>Table112348[[#This Row],[d (mm)]]</f>
        <v>266.7</v>
      </c>
      <c r="G31" s="110">
        <f t="shared" si="0"/>
        <v>40672.511999999995</v>
      </c>
      <c r="H31" s="110">
        <f t="shared" si="1"/>
        <v>2.7327399008792329E-6</v>
      </c>
      <c r="I31" s="132">
        <f>G31/(Table112348[[#This Row],[b (mm)]]*Z31^2)</f>
        <v>2.5013746172617059E-3</v>
      </c>
      <c r="J31" s="110">
        <f t="shared" si="2"/>
        <v>0.53406451792052545</v>
      </c>
      <c r="K31" s="110">
        <f t="shared" si="3"/>
        <v>1.7438405443582918E-6</v>
      </c>
      <c r="L31" s="132">
        <f>E31/(Table112348[[#This Row],[b (mm)]]*Z31)</f>
        <v>1.0943513950519965E-3</v>
      </c>
      <c r="M31" s="132">
        <f>Table112348[[#This Row],[M (KN.mm)]]/(Table112348[[#This Row],[b (mm)]]*Table112348[[#This Row],[d (mm)]])</f>
        <v>0.66711661042369697</v>
      </c>
      <c r="N31" s="132">
        <f>Table112348[[#This Row],[M (KN.mm)]]/(Table112348[[#This Row],[b (mm)]]*Table112348[[#This Row],[h (mm)]])</f>
        <v>0.574746618211185</v>
      </c>
      <c r="O31" s="133">
        <f>Table112348[[#This Row],[M (KN.mm)]]/(Table112348[[#This Row],[b (mm)]]*Table112348[[#This Row],[h (mm)]]*Table112348[[#This Row],[L(mm)]])</f>
        <v>4.7110378541900415E-4</v>
      </c>
      <c r="P31" s="133">
        <f>Table112348[[#This Row],[M (KN.mm)]]/(Table112348[[#This Row],[b (mm)]]*Table112348[[#This Row],[d (mm)]]*Table112348[[#This Row],[L(mm)]])</f>
        <v>5.4681689378991566E-4</v>
      </c>
      <c r="Q31" s="133">
        <f>Table112348[[#This Row],[M (KN.mm)]]/(Table112348[[#This Row],[b (mm)]]*Table112348[[#This Row],[h (mm)]]*Table112348[[#This Row],[L(mm)]]*Table112348[[#This Row],[fc (Mpa)]])</f>
        <v>1.5182203848501585E-5</v>
      </c>
      <c r="R31" s="133">
        <f>Table112348[[#This Row],[M (KN.mm)]]/(Table112348[[#This Row],[b (mm)]]*Table112348[[#This Row],[h (mm)]]*Table112348[[#This Row],[L(mm)]]/2)</f>
        <v>9.4220757083800829E-4</v>
      </c>
      <c r="S31" s="133">
        <f>Table112348[[#This Row],[M (KN.mm)]]/(Table112348[[#This Row],[a (mm)]]*Table112348[[#This Row],[b (mm)]]*Table112348[[#This Row],[h (mm)]]*Table112348[[#This Row],[L(mm)]]/2)</f>
        <v>1.5456160938943712E-6</v>
      </c>
      <c r="T31" s="110">
        <f>G31/($AK$5*AH31*0.001*Table112348[[#This Row],[pho (%)]])</f>
        <v>4.3376823823479889E-6</v>
      </c>
      <c r="U31" s="133">
        <f>Table112348[[#This Row],[M (KN.mm)]]/(Table112348[[#This Row],[b (mm)]]*Table112348[[#This Row],[d (mm)]]*Table112348[[#This Row],[pho (%)]])</f>
        <v>1.0589152546407889</v>
      </c>
      <c r="V31" s="110">
        <f>E31*224.8/(2*SQRT(Table112348[[#This Row],[fc (Mpa)]]*145.037)*Table112348[[#This Row],[b (mm)]]*Table112348[[#This Row],[d (mm)]]*(1/25.4)^2)</f>
        <v>1.1829332755266089</v>
      </c>
      <c r="W31" s="110">
        <f>Table112348[[#This Row],[M (KN.mm)]]/$G$36</f>
        <v>0.5</v>
      </c>
      <c r="X31" s="110">
        <f t="shared" si="4"/>
        <v>1.1829332755266089</v>
      </c>
      <c r="Y31" s="110">
        <f t="shared" ref="Y31:Y50" si="13">24*25.4</f>
        <v>609.59999999999991</v>
      </c>
      <c r="Z31" s="110">
        <f t="shared" ref="Z31:Z36" si="14">10.5*25.4</f>
        <v>266.7</v>
      </c>
      <c r="AA31" s="110">
        <f t="shared" ref="AA31:AA36" si="15">12.1875*25.4</f>
        <v>309.5625</v>
      </c>
      <c r="AB31" s="134">
        <f t="shared" ref="AB31:AB36" si="16">9*25.4</f>
        <v>228.6</v>
      </c>
      <c r="AC31" s="7">
        <v>31.03</v>
      </c>
      <c r="AD31" s="110">
        <f>Table112348[[#This Row],[pho (%)]]/100*Table112348[[#This Row],[b (mm)]]*Table112348[[#This Row],[h (mm)]]</f>
        <v>445.82572125000002</v>
      </c>
      <c r="AE31" s="135">
        <v>0.63</v>
      </c>
      <c r="AF31" s="110">
        <v>640.5</v>
      </c>
      <c r="AG31" s="132">
        <f>(1/3-0.21*(MIN(Table112348[[#This Row],[b (mm)]],AA31)/MAX(Table112348[[#This Row],[b (mm)]],AA31))*(MIN(Table112348[[#This Row],[b (mm)]],AA31)^4/(12*MAX(Table112348[[#This Row],[b (mm)]],AA31)^4)))*MAX(Table112348[[#This Row],[b (mm)]],AA31)*MIN(Table112348[[#This Row],[b (mm)]],AA31)^3</f>
        <v>1218483405.0369673</v>
      </c>
      <c r="AH31" s="132">
        <f>Table112348[[#This Row],[b (mm)]]*AA31^3/12</f>
        <v>565119139.14107668</v>
      </c>
      <c r="AI31" s="132">
        <v>1220</v>
      </c>
      <c r="AJ31"/>
      <c r="AK31"/>
    </row>
    <row r="32" spans="1:39" x14ac:dyDescent="0.25">
      <c r="A32" s="119" t="s">
        <v>178</v>
      </c>
      <c r="B32" s="119" t="s">
        <v>62</v>
      </c>
      <c r="C32" s="119">
        <v>31</v>
      </c>
      <c r="D32" s="130">
        <f>Table112348[[#This Row],[a (mm)]]/Table112348[[#This Row],[d (mm)]]</f>
        <v>2.2857142857142856</v>
      </c>
      <c r="E32" s="119">
        <v>80.064000000000007</v>
      </c>
      <c r="F32" s="127">
        <f>Table112348[[#This Row],[d (mm)]]</f>
        <v>266.7</v>
      </c>
      <c r="G32" s="110">
        <f t="shared" si="0"/>
        <v>48807.0144</v>
      </c>
      <c r="H32" s="110">
        <f t="shared" si="1"/>
        <v>3.2792878810550801E-6</v>
      </c>
      <c r="I32" s="132">
        <f>G32/(Table112348[[#This Row],[b (mm)]]*Z32^2)</f>
        <v>3.0016495407140477E-3</v>
      </c>
      <c r="J32" s="110">
        <f t="shared" si="2"/>
        <v>0.64087742150463067</v>
      </c>
      <c r="K32" s="110">
        <f t="shared" si="3"/>
        <v>2.0926086532299504E-6</v>
      </c>
      <c r="L32" s="132">
        <f>E32/(Table112348[[#This Row],[b (mm)]]*Z32)</f>
        <v>1.313221674062396E-3</v>
      </c>
      <c r="M32" s="132">
        <f>Table112348[[#This Row],[M (KN.mm)]]/(Table112348[[#This Row],[b (mm)]]*Table112348[[#This Row],[d (mm)]])</f>
        <v>0.80053993250843647</v>
      </c>
      <c r="N32" s="132">
        <f>Table112348[[#This Row],[M (KN.mm)]]/(Table112348[[#This Row],[b (mm)]]*Table112348[[#This Row],[h (mm)]])</f>
        <v>0.68969594185342209</v>
      </c>
      <c r="O32" s="133">
        <f>Table112348[[#This Row],[M (KN.mm)]]/(Table112348[[#This Row],[b (mm)]]*Table112348[[#This Row],[h (mm)]]*Table112348[[#This Row],[L(mm)]])</f>
        <v>5.6532454250280502E-4</v>
      </c>
      <c r="P32" s="133">
        <f>Table112348[[#This Row],[M (KN.mm)]]/(Table112348[[#This Row],[b (mm)]]*Table112348[[#This Row],[d (mm)]]*Table112348[[#This Row],[L(mm)]])</f>
        <v>6.5618027254789877E-4</v>
      </c>
      <c r="Q32" s="133">
        <f>Table112348[[#This Row],[M (KN.mm)]]/(Table112348[[#This Row],[b (mm)]]*Table112348[[#This Row],[h (mm)]]*Table112348[[#This Row],[L(mm)]]*Table112348[[#This Row],[fc (Mpa)]])</f>
        <v>1.8218644618201903E-5</v>
      </c>
      <c r="R32" s="133">
        <f>Table112348[[#This Row],[M (KN.mm)]]/(Table112348[[#This Row],[b (mm)]]*Table112348[[#This Row],[h (mm)]]*Table112348[[#This Row],[L(mm)]]/2)</f>
        <v>1.13064908500561E-3</v>
      </c>
      <c r="S32" s="133">
        <f>Table112348[[#This Row],[M (KN.mm)]]/(Table112348[[#This Row],[a (mm)]]*Table112348[[#This Row],[b (mm)]]*Table112348[[#This Row],[h (mm)]]*Table112348[[#This Row],[L(mm)]]/2)</f>
        <v>1.8547393126732456E-6</v>
      </c>
      <c r="T32" s="110">
        <f>G32/($AK$5*AH32*0.001*Table112348[[#This Row],[pho (%)]])</f>
        <v>5.2052188588175877E-6</v>
      </c>
      <c r="U32" s="133">
        <f>Table112348[[#This Row],[M (KN.mm)]]/(Table112348[[#This Row],[b (mm)]]*Table112348[[#This Row],[d (mm)]]*Table112348[[#This Row],[pho (%)]])</f>
        <v>1.2706983055689469</v>
      </c>
      <c r="V32" s="110">
        <f>E32*224.8/(2*SQRT(Table112348[[#This Row],[fc (Mpa)]]*145.037)*Table112348[[#This Row],[b (mm)]]*Table112348[[#This Row],[d (mm)]]*(1/25.4)^2)</f>
        <v>1.4195199306319306</v>
      </c>
      <c r="W32" s="110">
        <f>Table112348[[#This Row],[M (KN.mm)]]/$G$36</f>
        <v>0.60000000000000009</v>
      </c>
      <c r="X32" s="110">
        <f t="shared" si="4"/>
        <v>1.4195199306319306</v>
      </c>
      <c r="Y32" s="110">
        <f t="shared" si="13"/>
        <v>609.59999999999991</v>
      </c>
      <c r="Z32" s="110">
        <f t="shared" si="14"/>
        <v>266.7</v>
      </c>
      <c r="AA32" s="110">
        <f t="shared" si="15"/>
        <v>309.5625</v>
      </c>
      <c r="AB32" s="134">
        <f t="shared" si="16"/>
        <v>228.6</v>
      </c>
      <c r="AC32" s="7">
        <v>31.03</v>
      </c>
      <c r="AD32" s="110">
        <f>Table112348[[#This Row],[pho (%)]]/100*Table112348[[#This Row],[b (mm)]]*Table112348[[#This Row],[h (mm)]]</f>
        <v>445.82572125000002</v>
      </c>
      <c r="AE32" s="135">
        <v>0.63</v>
      </c>
      <c r="AF32" s="110">
        <v>640.5</v>
      </c>
      <c r="AG32" s="132">
        <f>(1/3-0.21*(MIN(Table112348[[#This Row],[b (mm)]],AA32)/MAX(Table112348[[#This Row],[b (mm)]],AA32))*(MIN(Table112348[[#This Row],[b (mm)]],AA32)^4/(12*MAX(Table112348[[#This Row],[b (mm)]],AA32)^4)))*MAX(Table112348[[#This Row],[b (mm)]],AA32)*MIN(Table112348[[#This Row],[b (mm)]],AA32)^3</f>
        <v>1218483405.0369673</v>
      </c>
      <c r="AH32" s="132">
        <f>Table112348[[#This Row],[b (mm)]]*AA32^3/12</f>
        <v>565119139.14107668</v>
      </c>
      <c r="AI32" s="132">
        <v>1220</v>
      </c>
      <c r="AJ32"/>
      <c r="AK32"/>
    </row>
    <row r="33" spans="1:44" x14ac:dyDescent="0.25">
      <c r="A33" s="119" t="s">
        <v>178</v>
      </c>
      <c r="B33" s="119" t="s">
        <v>63</v>
      </c>
      <c r="C33" s="119">
        <v>32</v>
      </c>
      <c r="D33" s="130">
        <f>Table112348[[#This Row],[a (mm)]]/Table112348[[#This Row],[d (mm)]]</f>
        <v>2.2857142857142856</v>
      </c>
      <c r="E33" s="119">
        <v>93.408000000000015</v>
      </c>
      <c r="F33" s="127">
        <f>Table112348[[#This Row],[d (mm)]]</f>
        <v>266.7</v>
      </c>
      <c r="G33" s="110">
        <f t="shared" si="0"/>
        <v>56941.516799999998</v>
      </c>
      <c r="H33" s="110">
        <f t="shared" si="1"/>
        <v>3.825835861230926E-6</v>
      </c>
      <c r="I33" s="132">
        <f>G33/(Table112348[[#This Row],[b (mm)]]*Z33^2)</f>
        <v>3.5019244641663889E-3</v>
      </c>
      <c r="J33" s="110">
        <f t="shared" si="2"/>
        <v>0.74769032508873579</v>
      </c>
      <c r="K33" s="110">
        <f t="shared" si="3"/>
        <v>2.441376762101609E-6</v>
      </c>
      <c r="L33" s="132">
        <f>E33/(Table112348[[#This Row],[b (mm)]]*Z33)</f>
        <v>1.5320919530727953E-3</v>
      </c>
      <c r="M33" s="132">
        <f>Table112348[[#This Row],[M (KN.mm)]]/(Table112348[[#This Row],[b (mm)]]*Table112348[[#This Row],[d (mm)]])</f>
        <v>0.93396325459317586</v>
      </c>
      <c r="N33" s="132">
        <f>Table112348[[#This Row],[M (KN.mm)]]/(Table112348[[#This Row],[b (mm)]]*Table112348[[#This Row],[h (mm)]])</f>
        <v>0.80464526549565918</v>
      </c>
      <c r="O33" s="133">
        <f>Table112348[[#This Row],[M (KN.mm)]]/(Table112348[[#This Row],[b (mm)]]*Table112348[[#This Row],[h (mm)]]*Table112348[[#This Row],[L(mm)]])</f>
        <v>6.5954529958660584E-4</v>
      </c>
      <c r="P33" s="133">
        <f>Table112348[[#This Row],[M (KN.mm)]]/(Table112348[[#This Row],[b (mm)]]*Table112348[[#This Row],[d (mm)]]*Table112348[[#This Row],[L(mm)]])</f>
        <v>7.6554365130588188E-4</v>
      </c>
      <c r="Q33" s="133">
        <f>Table112348[[#This Row],[M (KN.mm)]]/(Table112348[[#This Row],[b (mm)]]*Table112348[[#This Row],[h (mm)]]*Table112348[[#This Row],[L(mm)]]*Table112348[[#This Row],[fc (Mpa)]])</f>
        <v>2.1255085387902219E-5</v>
      </c>
      <c r="R33" s="133">
        <f>Table112348[[#This Row],[M (KN.mm)]]/(Table112348[[#This Row],[b (mm)]]*Table112348[[#This Row],[h (mm)]]*Table112348[[#This Row],[L(mm)]]/2)</f>
        <v>1.3190905991732117E-3</v>
      </c>
      <c r="S33" s="133">
        <f>Table112348[[#This Row],[M (KN.mm)]]/(Table112348[[#This Row],[a (mm)]]*Table112348[[#This Row],[b (mm)]]*Table112348[[#This Row],[h (mm)]]*Table112348[[#This Row],[L(mm)]]/2)</f>
        <v>2.1638625314521198E-6</v>
      </c>
      <c r="T33" s="110">
        <f>G33/($AK$5*AH33*0.001*Table112348[[#This Row],[pho (%)]])</f>
        <v>6.0727553352871848E-6</v>
      </c>
      <c r="U33" s="133">
        <f>Table112348[[#This Row],[M (KN.mm)]]/(Table112348[[#This Row],[b (mm)]]*Table112348[[#This Row],[d (mm)]]*Table112348[[#This Row],[pho (%)]])</f>
        <v>1.4824813564971044</v>
      </c>
      <c r="V33" s="110">
        <f>E33*224.8/(2*SQRT(Table112348[[#This Row],[fc (Mpa)]]*145.037)*Table112348[[#This Row],[b (mm)]]*Table112348[[#This Row],[d (mm)]]*(1/25.4)^2)</f>
        <v>1.6561065857372526</v>
      </c>
      <c r="W33" s="110">
        <f>Table112348[[#This Row],[M (KN.mm)]]/$G$36</f>
        <v>0.70000000000000007</v>
      </c>
      <c r="X33" s="110">
        <f t="shared" si="4"/>
        <v>1.6561065857372526</v>
      </c>
      <c r="Y33" s="110">
        <f t="shared" si="13"/>
        <v>609.59999999999991</v>
      </c>
      <c r="Z33" s="110">
        <f t="shared" si="14"/>
        <v>266.7</v>
      </c>
      <c r="AA33" s="110">
        <f t="shared" si="15"/>
        <v>309.5625</v>
      </c>
      <c r="AB33" s="134">
        <f t="shared" si="16"/>
        <v>228.6</v>
      </c>
      <c r="AC33" s="7">
        <v>31.03</v>
      </c>
      <c r="AD33" s="110">
        <f>Table112348[[#This Row],[pho (%)]]/100*Table112348[[#This Row],[b (mm)]]*Table112348[[#This Row],[h (mm)]]</f>
        <v>445.82572125000002</v>
      </c>
      <c r="AE33" s="135">
        <v>0.63</v>
      </c>
      <c r="AF33" s="110">
        <v>640.5</v>
      </c>
      <c r="AG33" s="132">
        <f>(1/3-0.21*(MIN(Table112348[[#This Row],[b (mm)]],AA33)/MAX(Table112348[[#This Row],[b (mm)]],AA33))*(MIN(Table112348[[#This Row],[b (mm)]],AA33)^4/(12*MAX(Table112348[[#This Row],[b (mm)]],AA33)^4)))*MAX(Table112348[[#This Row],[b (mm)]],AA33)*MIN(Table112348[[#This Row],[b (mm)]],AA33)^3</f>
        <v>1218483405.0369673</v>
      </c>
      <c r="AH33" s="132">
        <f>Table112348[[#This Row],[b (mm)]]*AA33^3/12</f>
        <v>565119139.14107668</v>
      </c>
      <c r="AI33" s="132">
        <v>1220</v>
      </c>
      <c r="AJ33"/>
      <c r="AK33"/>
    </row>
    <row r="34" spans="1:44" x14ac:dyDescent="0.25">
      <c r="A34" s="119" t="s">
        <v>178</v>
      </c>
      <c r="B34" s="119" t="s">
        <v>64</v>
      </c>
      <c r="C34" s="119">
        <v>33</v>
      </c>
      <c r="D34" s="130">
        <f>Table112348[[#This Row],[a (mm)]]/Table112348[[#This Row],[d (mm)]]</f>
        <v>2.2857142857142856</v>
      </c>
      <c r="E34" s="119">
        <v>106.75200000000001</v>
      </c>
      <c r="F34" s="127">
        <f>Table112348[[#This Row],[d (mm)]]</f>
        <v>266.7</v>
      </c>
      <c r="G34" s="110">
        <f t="shared" si="0"/>
        <v>65076.019199999995</v>
      </c>
      <c r="H34" s="110">
        <f t="shared" si="1"/>
        <v>4.3723838414067732E-6</v>
      </c>
      <c r="I34" s="132">
        <f>G34/(Table112348[[#This Row],[b (mm)]]*Z34^2)</f>
        <v>4.0021993876187302E-3</v>
      </c>
      <c r="J34" s="110">
        <f t="shared" si="2"/>
        <v>0.85450322867284079</v>
      </c>
      <c r="K34" s="110">
        <f t="shared" si="3"/>
        <v>2.7901448709732672E-6</v>
      </c>
      <c r="L34" s="132">
        <f>E34/(Table112348[[#This Row],[b (mm)]]*Z34)</f>
        <v>1.7509622320831947E-3</v>
      </c>
      <c r="M34" s="132">
        <f>Table112348[[#This Row],[M (KN.mm)]]/(Table112348[[#This Row],[b (mm)]]*Table112348[[#This Row],[d (mm)]])</f>
        <v>1.0673865766779154</v>
      </c>
      <c r="N34" s="132">
        <f>Table112348[[#This Row],[M (KN.mm)]]/(Table112348[[#This Row],[b (mm)]]*Table112348[[#This Row],[h (mm)]])</f>
        <v>0.91959458913789616</v>
      </c>
      <c r="O34" s="133">
        <f>Table112348[[#This Row],[M (KN.mm)]]/(Table112348[[#This Row],[b (mm)]]*Table112348[[#This Row],[h (mm)]]*Table112348[[#This Row],[L(mm)]])</f>
        <v>7.5376605667040665E-4</v>
      </c>
      <c r="P34" s="133">
        <f>Table112348[[#This Row],[M (KN.mm)]]/(Table112348[[#This Row],[b (mm)]]*Table112348[[#This Row],[d (mm)]]*Table112348[[#This Row],[L(mm)]])</f>
        <v>8.7490703006386499E-4</v>
      </c>
      <c r="Q34" s="133">
        <f>Table112348[[#This Row],[M (KN.mm)]]/(Table112348[[#This Row],[b (mm)]]*Table112348[[#This Row],[h (mm)]]*Table112348[[#This Row],[L(mm)]]*Table112348[[#This Row],[fc (Mpa)]])</f>
        <v>2.4291526157602535E-5</v>
      </c>
      <c r="R34" s="133">
        <f>Table112348[[#This Row],[M (KN.mm)]]/(Table112348[[#This Row],[b (mm)]]*Table112348[[#This Row],[h (mm)]]*Table112348[[#This Row],[L(mm)]]/2)</f>
        <v>1.5075321133408133E-3</v>
      </c>
      <c r="S34" s="133">
        <f>Table112348[[#This Row],[M (KN.mm)]]/(Table112348[[#This Row],[a (mm)]]*Table112348[[#This Row],[b (mm)]]*Table112348[[#This Row],[h (mm)]]*Table112348[[#This Row],[L(mm)]]/2)</f>
        <v>2.472985750230994E-6</v>
      </c>
      <c r="T34" s="110">
        <f>G34/($AK$5*AH34*0.001*Table112348[[#This Row],[pho (%)]])</f>
        <v>6.9402918117567828E-6</v>
      </c>
      <c r="U34" s="133">
        <f>Table112348[[#This Row],[M (KN.mm)]]/(Table112348[[#This Row],[b (mm)]]*Table112348[[#This Row],[d (mm)]]*Table112348[[#This Row],[pho (%)]])</f>
        <v>1.6942644074252622</v>
      </c>
      <c r="V34" s="110">
        <f>E34*224.8/(2*SQRT(Table112348[[#This Row],[fc (Mpa)]]*145.037)*Table112348[[#This Row],[b (mm)]]*Table112348[[#This Row],[d (mm)]]*(1/25.4)^2)</f>
        <v>1.8926932408425743</v>
      </c>
      <c r="W34" s="110">
        <f>Table112348[[#This Row],[M (KN.mm)]]/$G$36</f>
        <v>0.8</v>
      </c>
      <c r="X34" s="110">
        <f t="shared" ref="X34:X65" si="17">V34</f>
        <v>1.8926932408425743</v>
      </c>
      <c r="Y34" s="110">
        <f t="shared" si="13"/>
        <v>609.59999999999991</v>
      </c>
      <c r="Z34" s="110">
        <f t="shared" si="14"/>
        <v>266.7</v>
      </c>
      <c r="AA34" s="110">
        <f t="shared" si="15"/>
        <v>309.5625</v>
      </c>
      <c r="AB34" s="134">
        <f t="shared" si="16"/>
        <v>228.6</v>
      </c>
      <c r="AC34" s="7">
        <v>31.03</v>
      </c>
      <c r="AD34" s="110">
        <f>Table112348[[#This Row],[pho (%)]]/100*Table112348[[#This Row],[b (mm)]]*Table112348[[#This Row],[h (mm)]]</f>
        <v>445.82572125000002</v>
      </c>
      <c r="AE34" s="135">
        <v>0.63</v>
      </c>
      <c r="AF34" s="110">
        <v>640.5</v>
      </c>
      <c r="AG34" s="132">
        <f>(1/3-0.21*(MIN(Table112348[[#This Row],[b (mm)]],AA34)/MAX(Table112348[[#This Row],[b (mm)]],AA34))*(MIN(Table112348[[#This Row],[b (mm)]],AA34)^4/(12*MAX(Table112348[[#This Row],[b (mm)]],AA34)^4)))*MAX(Table112348[[#This Row],[b (mm)]],AA34)*MIN(Table112348[[#This Row],[b (mm)]],AA34)^3</f>
        <v>1218483405.0369673</v>
      </c>
      <c r="AH34" s="132">
        <f>Table112348[[#This Row],[b (mm)]]*AA34^3/12</f>
        <v>565119139.14107668</v>
      </c>
      <c r="AI34" s="132">
        <v>1220</v>
      </c>
      <c r="AJ34"/>
      <c r="AK34"/>
    </row>
    <row r="35" spans="1:44" x14ac:dyDescent="0.25">
      <c r="A35" s="119" t="s">
        <v>178</v>
      </c>
      <c r="B35" s="119" t="s">
        <v>65</v>
      </c>
      <c r="C35" s="119">
        <v>34</v>
      </c>
      <c r="D35" s="130">
        <f>Table112348[[#This Row],[a (mm)]]/Table112348[[#This Row],[d (mm)]]</f>
        <v>2.2857142857142856</v>
      </c>
      <c r="E35" s="119">
        <v>120.096</v>
      </c>
      <c r="F35" s="127">
        <f>Table112348[[#This Row],[d (mm)]]</f>
        <v>266.7</v>
      </c>
      <c r="G35" s="110">
        <f t="shared" si="0"/>
        <v>73210.521599999993</v>
      </c>
      <c r="H35" s="110">
        <f t="shared" si="1"/>
        <v>4.9189318215826195E-6</v>
      </c>
      <c r="I35" s="132">
        <f>G35/(Table112348[[#This Row],[b (mm)]]*Z35^2)</f>
        <v>4.502474311071071E-3</v>
      </c>
      <c r="J35" s="110">
        <f t="shared" si="2"/>
        <v>0.9613161322569459</v>
      </c>
      <c r="K35" s="110">
        <f t="shared" si="3"/>
        <v>3.1389129798449254E-6</v>
      </c>
      <c r="L35" s="132">
        <f>E35/(Table112348[[#This Row],[b (mm)]]*Z35)</f>
        <v>1.969832511093594E-3</v>
      </c>
      <c r="M35" s="132">
        <f>Table112348[[#This Row],[M (KN.mm)]]/(Table112348[[#This Row],[b (mm)]]*Table112348[[#This Row],[d (mm)]])</f>
        <v>1.2008098987626545</v>
      </c>
      <c r="N35" s="132">
        <f>Table112348[[#This Row],[M (KN.mm)]]/(Table112348[[#This Row],[b (mm)]]*Table112348[[#This Row],[h (mm)]])</f>
        <v>1.034543912780133</v>
      </c>
      <c r="O35" s="133">
        <f>Table112348[[#This Row],[M (KN.mm)]]/(Table112348[[#This Row],[b (mm)]]*Table112348[[#This Row],[h (mm)]]*Table112348[[#This Row],[L(mm)]])</f>
        <v>8.4798681375420747E-4</v>
      </c>
      <c r="P35" s="133">
        <f>Table112348[[#This Row],[M (KN.mm)]]/(Table112348[[#This Row],[b (mm)]]*Table112348[[#This Row],[d (mm)]]*Table112348[[#This Row],[L(mm)]])</f>
        <v>9.842704088218481E-4</v>
      </c>
      <c r="Q35" s="133">
        <f>Table112348[[#This Row],[M (KN.mm)]]/(Table112348[[#This Row],[b (mm)]]*Table112348[[#This Row],[h (mm)]]*Table112348[[#This Row],[L(mm)]]*Table112348[[#This Row],[fc (Mpa)]])</f>
        <v>2.7327966927302851E-5</v>
      </c>
      <c r="R35" s="133">
        <f>Table112348[[#This Row],[M (KN.mm)]]/(Table112348[[#This Row],[b (mm)]]*Table112348[[#This Row],[h (mm)]]*Table112348[[#This Row],[L(mm)]]/2)</f>
        <v>1.6959736275084149E-3</v>
      </c>
      <c r="S35" s="133">
        <f>Table112348[[#This Row],[M (KN.mm)]]/(Table112348[[#This Row],[a (mm)]]*Table112348[[#This Row],[b (mm)]]*Table112348[[#This Row],[h (mm)]]*Table112348[[#This Row],[L(mm)]]/2)</f>
        <v>2.7821089690098682E-6</v>
      </c>
      <c r="T35" s="110">
        <f>G35/($AK$5*AH35*0.001*Table112348[[#This Row],[pho (%)]])</f>
        <v>7.8078282882263807E-6</v>
      </c>
      <c r="U35" s="133">
        <f>Table112348[[#This Row],[M (KN.mm)]]/(Table112348[[#This Row],[b (mm)]]*Table112348[[#This Row],[d (mm)]]*Table112348[[#This Row],[pho (%)]])</f>
        <v>1.9060474583534199</v>
      </c>
      <c r="V35" s="110">
        <f>E35*224.8/(2*SQRT(Table112348[[#This Row],[fc (Mpa)]]*145.037)*Table112348[[#This Row],[b (mm)]]*Table112348[[#This Row],[d (mm)]]*(1/25.4)^2)</f>
        <v>2.1292798959478958</v>
      </c>
      <c r="W35" s="110">
        <f>Table112348[[#This Row],[M (KN.mm)]]/$G$36</f>
        <v>0.9</v>
      </c>
      <c r="X35" s="110">
        <f t="shared" si="17"/>
        <v>2.1292798959478958</v>
      </c>
      <c r="Y35" s="110">
        <f t="shared" si="13"/>
        <v>609.59999999999991</v>
      </c>
      <c r="Z35" s="110">
        <f t="shared" si="14"/>
        <v>266.7</v>
      </c>
      <c r="AA35" s="110">
        <f t="shared" si="15"/>
        <v>309.5625</v>
      </c>
      <c r="AB35" s="134">
        <f t="shared" si="16"/>
        <v>228.6</v>
      </c>
      <c r="AC35" s="7">
        <v>31.03</v>
      </c>
      <c r="AD35" s="110">
        <f>Table112348[[#This Row],[pho (%)]]/100*Table112348[[#This Row],[b (mm)]]*Table112348[[#This Row],[h (mm)]]</f>
        <v>445.82572125000002</v>
      </c>
      <c r="AE35" s="135">
        <v>0.63</v>
      </c>
      <c r="AF35" s="110">
        <v>640.5</v>
      </c>
      <c r="AG35" s="132">
        <f>(1/3-0.21*(MIN(Table112348[[#This Row],[b (mm)]],AA35)/MAX(Table112348[[#This Row],[b (mm)]],AA35))*(MIN(Table112348[[#This Row],[b (mm)]],AA35)^4/(12*MAX(Table112348[[#This Row],[b (mm)]],AA35)^4)))*MAX(Table112348[[#This Row],[b (mm)]],AA35)*MIN(Table112348[[#This Row],[b (mm)]],AA35)^3</f>
        <v>1218483405.0369673</v>
      </c>
      <c r="AH35" s="132">
        <f>Table112348[[#This Row],[b (mm)]]*AA35^3/12</f>
        <v>565119139.14107668</v>
      </c>
      <c r="AI35" s="132">
        <v>1220</v>
      </c>
      <c r="AJ35"/>
      <c r="AK35"/>
    </row>
    <row r="36" spans="1:44" x14ac:dyDescent="0.25">
      <c r="A36" s="119" t="s">
        <v>178</v>
      </c>
      <c r="B36" s="119" t="s">
        <v>66</v>
      </c>
      <c r="C36" s="119">
        <v>35</v>
      </c>
      <c r="D36" s="130">
        <f>Table112348[[#This Row],[a (mm)]]/Table112348[[#This Row],[d (mm)]]</f>
        <v>2.2857142857142856</v>
      </c>
      <c r="E36" s="119">
        <v>133.44</v>
      </c>
      <c r="F36" s="127">
        <f>Table112348[[#This Row],[d (mm)]]</f>
        <v>266.7</v>
      </c>
      <c r="G36" s="110">
        <f t="shared" si="0"/>
        <v>81345.02399999999</v>
      </c>
      <c r="H36" s="110">
        <f t="shared" si="1"/>
        <v>5.4654798017584658E-6</v>
      </c>
      <c r="I36" s="132">
        <f>G36/(Table112348[[#This Row],[b (mm)]]*Z36^2)</f>
        <v>5.0027492345234119E-3</v>
      </c>
      <c r="J36" s="110">
        <f t="shared" si="2"/>
        <v>1.0681290358410509</v>
      </c>
      <c r="K36" s="110">
        <f t="shared" si="3"/>
        <v>3.4876810887165836E-6</v>
      </c>
      <c r="L36" s="132">
        <f>E36/(Table112348[[#This Row],[b (mm)]]*Z36)</f>
        <v>2.1887027901039929E-3</v>
      </c>
      <c r="M36" s="132">
        <f>Table112348[[#This Row],[M (KN.mm)]]/(Table112348[[#This Row],[b (mm)]]*Table112348[[#This Row],[d (mm)]])</f>
        <v>1.3342332208473939</v>
      </c>
      <c r="N36" s="132">
        <f>Table112348[[#This Row],[M (KN.mm)]]/(Table112348[[#This Row],[b (mm)]]*Table112348[[#This Row],[h (mm)]])</f>
        <v>1.14949323642237</v>
      </c>
      <c r="O36" s="133">
        <f>Table112348[[#This Row],[M (KN.mm)]]/(Table112348[[#This Row],[b (mm)]]*Table112348[[#This Row],[h (mm)]]*Table112348[[#This Row],[L(mm)]])</f>
        <v>9.4220757083800829E-4</v>
      </c>
      <c r="P36" s="133">
        <f>Table112348[[#This Row],[M (KN.mm)]]/(Table112348[[#This Row],[b (mm)]]*Table112348[[#This Row],[d (mm)]]*Table112348[[#This Row],[L(mm)]])</f>
        <v>1.0936337875798313E-3</v>
      </c>
      <c r="Q36" s="133">
        <f>Table112348[[#This Row],[M (KN.mm)]]/(Table112348[[#This Row],[b (mm)]]*Table112348[[#This Row],[h (mm)]]*Table112348[[#This Row],[L(mm)]]*Table112348[[#This Row],[fc (Mpa)]])</f>
        <v>3.0364407697003171E-5</v>
      </c>
      <c r="R36" s="133">
        <f>Table112348[[#This Row],[M (KN.mm)]]/(Table112348[[#This Row],[b (mm)]]*Table112348[[#This Row],[h (mm)]]*Table112348[[#This Row],[L(mm)]]/2)</f>
        <v>1.8844151416760166E-3</v>
      </c>
      <c r="S36" s="133">
        <f>Table112348[[#This Row],[M (KN.mm)]]/(Table112348[[#This Row],[a (mm)]]*Table112348[[#This Row],[b (mm)]]*Table112348[[#This Row],[h (mm)]]*Table112348[[#This Row],[L(mm)]]/2)</f>
        <v>3.0912321877887424E-6</v>
      </c>
      <c r="T36" s="110">
        <f>G36/($AK$5*AH36*0.001*Table112348[[#This Row],[pho (%)]])</f>
        <v>8.6753647646959778E-6</v>
      </c>
      <c r="U36" s="133">
        <f>Table112348[[#This Row],[M (KN.mm)]]/(Table112348[[#This Row],[b (mm)]]*Table112348[[#This Row],[d (mm)]]*Table112348[[#This Row],[pho (%)]])</f>
        <v>2.1178305092815779</v>
      </c>
      <c r="V36" s="110">
        <f>E36*224.8/(2*SQRT(Table112348[[#This Row],[fc (Mpa)]]*145.037)*Table112348[[#This Row],[b (mm)]]*Table112348[[#This Row],[d (mm)]]*(1/25.4)^2)</f>
        <v>2.3658665510532177</v>
      </c>
      <c r="W36" s="110">
        <f>Table112348[[#This Row],[M (KN.mm)]]/$G$36</f>
        <v>1</v>
      </c>
      <c r="X36" s="110">
        <f t="shared" si="17"/>
        <v>2.3658665510532177</v>
      </c>
      <c r="Y36" s="110">
        <f t="shared" si="13"/>
        <v>609.59999999999991</v>
      </c>
      <c r="Z36" s="110">
        <f t="shared" si="14"/>
        <v>266.7</v>
      </c>
      <c r="AA36" s="110">
        <f t="shared" si="15"/>
        <v>309.5625</v>
      </c>
      <c r="AB36" s="134">
        <f t="shared" si="16"/>
        <v>228.6</v>
      </c>
      <c r="AC36" s="7">
        <v>31.03</v>
      </c>
      <c r="AD36" s="110">
        <f>Table112348[[#This Row],[pho (%)]]/100*Table112348[[#This Row],[b (mm)]]*Table112348[[#This Row],[h (mm)]]</f>
        <v>445.82572125000002</v>
      </c>
      <c r="AE36" s="135">
        <v>0.63</v>
      </c>
      <c r="AF36" s="110">
        <v>640.5</v>
      </c>
      <c r="AG36" s="132">
        <f>(1/3-0.21*(MIN(Table112348[[#This Row],[b (mm)]],AA36)/MAX(Table112348[[#This Row],[b (mm)]],AA36))*(MIN(Table112348[[#This Row],[b (mm)]],AA36)^4/(12*MAX(Table112348[[#This Row],[b (mm)]],AA36)^4)))*MAX(Table112348[[#This Row],[b (mm)]],AA36)*MIN(Table112348[[#This Row],[b (mm)]],AA36)^3</f>
        <v>1218483405.0369673</v>
      </c>
      <c r="AH36" s="132">
        <f>Table112348[[#This Row],[b (mm)]]*AA36^3/12</f>
        <v>565119139.14107668</v>
      </c>
      <c r="AI36" s="132">
        <v>1220</v>
      </c>
      <c r="AJ36"/>
      <c r="AK36"/>
    </row>
    <row r="37" spans="1:44" x14ac:dyDescent="0.25">
      <c r="A37" s="122" t="s">
        <v>179</v>
      </c>
      <c r="B37" s="122" t="s">
        <v>60</v>
      </c>
      <c r="C37" s="122">
        <v>36</v>
      </c>
      <c r="D37" s="130">
        <f>Table112348[[#This Row],[a (mm)]]/Table112348[[#This Row],[d (mm)]]</f>
        <v>2.2857142857142856</v>
      </c>
      <c r="E37" s="122">
        <v>53.376000000000005</v>
      </c>
      <c r="F37" s="127">
        <f>Table112348[[#This Row],[d (mm)]]</f>
        <v>266.7</v>
      </c>
      <c r="G37" s="110">
        <f>E37*Y37</f>
        <v>32538.009599999998</v>
      </c>
      <c r="H37" s="110">
        <f t="shared" ref="H37:H50" si="18">G37/($AK$5*AH37*0.001)</f>
        <v>2.205470438782229E-6</v>
      </c>
      <c r="I37" s="132">
        <f>G37/(Table112348[[#This Row],[b (mm)]]*Z37^2)</f>
        <v>1.987847377956323E-3</v>
      </c>
      <c r="J37" s="110">
        <f t="shared" ref="J37:J50" si="19">G37/(AD37*AF37*Z37*0.001)</f>
        <v>0.42660987640268649</v>
      </c>
      <c r="K37" s="110">
        <f t="shared" ref="K37:K50" si="20">E37/($AK$4*AG37*0.001)</f>
        <v>1.3755619702092975E-6</v>
      </c>
      <c r="L37" s="132">
        <f>E37/(Table112348[[#This Row],[b (mm)]]*Z37)</f>
        <v>8.6968322785589138E-4</v>
      </c>
      <c r="M37" s="132">
        <f>Table112348[[#This Row],[M (KN.mm)]]/(Table112348[[#This Row],[b (mm)]]*Table112348[[#This Row],[d (mm)]])</f>
        <v>0.53015889570095132</v>
      </c>
      <c r="N37" s="132">
        <f>Table112348[[#This Row],[M (KN.mm)]]/(Table112348[[#This Row],[b (mm)]]*Table112348[[#This Row],[h (mm)]])</f>
        <v>0.45910667256577226</v>
      </c>
      <c r="O37" s="133">
        <f>Table112348[[#This Row],[M (KN.mm)]]/(Table112348[[#This Row],[b (mm)]]*Table112348[[#This Row],[h (mm)]]*Table112348[[#This Row],[L(mm)]])</f>
        <v>3.7631694472604286E-4</v>
      </c>
      <c r="P37" s="133">
        <f>Table112348[[#This Row],[M (KN.mm)]]/(Table112348[[#This Row],[b (mm)]]*Table112348[[#This Row],[d (mm)]]*Table112348[[#This Row],[L(mm)]])</f>
        <v>4.345564718860257E-4</v>
      </c>
      <c r="Q37" s="133">
        <f>Table112348[[#This Row],[M (KN.mm)]]/(Table112348[[#This Row],[b (mm)]]*Table112348[[#This Row],[h (mm)]]*Table112348[[#This Row],[L(mm)]]*Table112348[[#This Row],[fc (Mpa)]])</f>
        <v>1.2127519971835091E-5</v>
      </c>
      <c r="R37" s="133">
        <f>Table112348[[#This Row],[M (KN.mm)]]/(Table112348[[#This Row],[b (mm)]]*Table112348[[#This Row],[h (mm)]]*Table112348[[#This Row],[L(mm)]]/2)</f>
        <v>7.5263388945208572E-4</v>
      </c>
      <c r="S37" s="133">
        <f>Table112348[[#This Row],[M (KN.mm)]]/(Table112348[[#This Row],[a (mm)]]*Table112348[[#This Row],[b (mm)]]*Table112348[[#This Row],[h (mm)]]*Table112348[[#This Row],[L(mm)]]/2)</f>
        <v>1.2346356454266497E-6</v>
      </c>
      <c r="T37" s="110">
        <f>G37/($AK$5*AH37*0.001*Table112348[[#This Row],[pho (%)]])</f>
        <v>3.5007467282257604E-6</v>
      </c>
      <c r="U37" s="133">
        <f>Table112348[[#This Row],[M (KN.mm)]]/(Table112348[[#This Row],[b (mm)]]*Table112348[[#This Row],[d (mm)]]*Table112348[[#This Row],[pho (%)]])</f>
        <v>0.84152205666817659</v>
      </c>
      <c r="V37" s="110">
        <f>E37*224.8/(2*SQRT(Table112348[[#This Row],[fc (Mpa)]]*145.037)*Table112348[[#This Row],[b (mm)]]*Table112348[[#This Row],[d (mm)]]*(1/25.4)^2)</f>
        <v>0.94007942425955693</v>
      </c>
      <c r="W37" s="110">
        <f>Table112348[[#This Row],[M (KN.mm)]]/$G$43</f>
        <v>0.38709677419354843</v>
      </c>
      <c r="X37" s="110">
        <f t="shared" si="17"/>
        <v>0.94007942425955693</v>
      </c>
      <c r="Y37" s="110">
        <f t="shared" si="13"/>
        <v>609.59999999999991</v>
      </c>
      <c r="Z37" s="110">
        <f>10.5*25.4</f>
        <v>266.7</v>
      </c>
      <c r="AA37" s="110">
        <f>12.125*25.4</f>
        <v>307.97499999999997</v>
      </c>
      <c r="AB37" s="134">
        <f>9.06*25.4</f>
        <v>230.124</v>
      </c>
      <c r="AC37" s="7">
        <v>31.03</v>
      </c>
      <c r="AD37" s="110">
        <f>Table112348[[#This Row],[pho (%)]]/100*Table112348[[#This Row],[b (mm)]]*Table112348[[#This Row],[h (mm)]]</f>
        <v>446.49636506999991</v>
      </c>
      <c r="AE37" s="135">
        <v>0.63</v>
      </c>
      <c r="AF37" s="110">
        <v>640.5</v>
      </c>
      <c r="AG37" s="132">
        <f>(1/3-0.21*(MIN(Table112348[[#This Row],[b (mm)]],AA37)/MAX(Table112348[[#This Row],[b (mm)]],AA37))*(MIN(Table112348[[#This Row],[b (mm)]],AA37)^4/(12*MAX(Table112348[[#This Row],[b (mm)]],AA37)^4)))*MAX(Table112348[[#This Row],[b (mm)]],AA37)*MIN(Table112348[[#This Row],[b (mm)]],AA37)^3</f>
        <v>1235765925.6938643</v>
      </c>
      <c r="AH37" s="132">
        <f>Table112348[[#This Row],[b (mm)]]*AA37^3/12</f>
        <v>560179304.37881768</v>
      </c>
      <c r="AI37" s="132">
        <v>1220</v>
      </c>
      <c r="AJ37"/>
      <c r="AK37"/>
    </row>
    <row r="38" spans="1:44" x14ac:dyDescent="0.25">
      <c r="A38" s="122" t="s">
        <v>179</v>
      </c>
      <c r="B38" s="122" t="s">
        <v>61</v>
      </c>
      <c r="C38" s="122">
        <v>37</v>
      </c>
      <c r="D38" s="130">
        <f>Table112348[[#This Row],[a (mm)]]/Table112348[[#This Row],[d (mm)]]</f>
        <v>2.2857142857142856</v>
      </c>
      <c r="E38" s="122">
        <v>66.72</v>
      </c>
      <c r="F38" s="127">
        <f>Table112348[[#This Row],[d (mm)]]</f>
        <v>266.7</v>
      </c>
      <c r="G38" s="110">
        <f t="shared" ref="G38:G50" si="21">E38*Y38</f>
        <v>40672.511999999995</v>
      </c>
      <c r="H38" s="110">
        <f t="shared" si="18"/>
        <v>2.7568380484777863E-6</v>
      </c>
      <c r="I38" s="132">
        <f>G38/(Table112348[[#This Row],[b (mm)]]*Z38^2)</f>
        <v>2.4848092224454034E-3</v>
      </c>
      <c r="J38" s="110">
        <f t="shared" si="19"/>
        <v>0.53326234550335805</v>
      </c>
      <c r="K38" s="110">
        <f t="shared" si="20"/>
        <v>1.7194524627616217E-6</v>
      </c>
      <c r="L38" s="132">
        <f>E38/(Table112348[[#This Row],[b (mm)]]*Z38)</f>
        <v>1.0871040348198642E-3</v>
      </c>
      <c r="M38" s="132">
        <f>Table112348[[#This Row],[M (KN.mm)]]/(Table112348[[#This Row],[b (mm)]]*Table112348[[#This Row],[d (mm)]])</f>
        <v>0.66269861962618914</v>
      </c>
      <c r="N38" s="132">
        <f>Table112348[[#This Row],[M (KN.mm)]]/(Table112348[[#This Row],[b (mm)]]*Table112348[[#This Row],[h (mm)]])</f>
        <v>0.57388334070721525</v>
      </c>
      <c r="O38" s="133">
        <f>Table112348[[#This Row],[M (KN.mm)]]/(Table112348[[#This Row],[b (mm)]]*Table112348[[#This Row],[h (mm)]]*Table112348[[#This Row],[L(mm)]])</f>
        <v>4.7039618090755352E-4</v>
      </c>
      <c r="P38" s="133">
        <f>Table112348[[#This Row],[M (KN.mm)]]/(Table112348[[#This Row],[b (mm)]]*Table112348[[#This Row],[d (mm)]]*Table112348[[#This Row],[L(mm)]])</f>
        <v>5.4319558985753207E-4</v>
      </c>
      <c r="Q38" s="133">
        <f>Table112348[[#This Row],[M (KN.mm)]]/(Table112348[[#This Row],[b (mm)]]*Table112348[[#This Row],[h (mm)]]*Table112348[[#This Row],[L(mm)]]*Table112348[[#This Row],[fc (Mpa)]])</f>
        <v>1.5159399964793863E-5</v>
      </c>
      <c r="R38" s="133">
        <f>Table112348[[#This Row],[M (KN.mm)]]/(Table112348[[#This Row],[b (mm)]]*Table112348[[#This Row],[h (mm)]]*Table112348[[#This Row],[L(mm)]]/2)</f>
        <v>9.4079236181510704E-4</v>
      </c>
      <c r="S38" s="133">
        <f>Table112348[[#This Row],[M (KN.mm)]]/(Table112348[[#This Row],[a (mm)]]*Table112348[[#This Row],[b (mm)]]*Table112348[[#This Row],[h (mm)]]*Table112348[[#This Row],[L(mm)]]/2)</f>
        <v>1.5432945567833122E-6</v>
      </c>
      <c r="T38" s="110">
        <f>G38/($AK$5*AH38*0.001*Table112348[[#This Row],[pho (%)]])</f>
        <v>4.3759334102822006E-6</v>
      </c>
      <c r="U38" s="133">
        <f>Table112348[[#This Row],[M (KN.mm)]]/(Table112348[[#This Row],[b (mm)]]*Table112348[[#This Row],[d (mm)]]*Table112348[[#This Row],[pho (%)]])</f>
        <v>1.0519025708352208</v>
      </c>
      <c r="V38" s="110">
        <f>E38*224.8/(2*SQRT(Table112348[[#This Row],[fc (Mpa)]]*145.037)*Table112348[[#This Row],[b (mm)]]*Table112348[[#This Row],[d (mm)]]*(1/25.4)^2)</f>
        <v>1.175099280324446</v>
      </c>
      <c r="W38" s="110">
        <f>Table112348[[#This Row],[M (KN.mm)]]/$G$43</f>
        <v>0.4838709677419355</v>
      </c>
      <c r="X38" s="110">
        <f t="shared" si="17"/>
        <v>1.175099280324446</v>
      </c>
      <c r="Y38" s="110">
        <f t="shared" si="13"/>
        <v>609.59999999999991</v>
      </c>
      <c r="Z38" s="110">
        <f t="shared" ref="Z38:Z50" si="22">10.5*25.4</f>
        <v>266.7</v>
      </c>
      <c r="AA38" s="110">
        <f t="shared" ref="AA38:AA50" si="23">12.125*25.4</f>
        <v>307.97499999999997</v>
      </c>
      <c r="AB38" s="134">
        <f t="shared" ref="AB38:AB43" si="24">9.06*25.4</f>
        <v>230.124</v>
      </c>
      <c r="AC38" s="7">
        <v>31.03</v>
      </c>
      <c r="AD38" s="110">
        <f>Table112348[[#This Row],[pho (%)]]/100*Table112348[[#This Row],[b (mm)]]*Table112348[[#This Row],[h (mm)]]</f>
        <v>446.49636506999991</v>
      </c>
      <c r="AE38" s="135">
        <v>0.63</v>
      </c>
      <c r="AF38" s="110">
        <v>640.5</v>
      </c>
      <c r="AG38" s="132">
        <f>(1/3-0.21*(MIN(Table112348[[#This Row],[b (mm)]],AA38)/MAX(Table112348[[#This Row],[b (mm)]],AA38))*(MIN(Table112348[[#This Row],[b (mm)]],AA38)^4/(12*MAX(Table112348[[#This Row],[b (mm)]],AA38)^4)))*MAX(Table112348[[#This Row],[b (mm)]],AA38)*MIN(Table112348[[#This Row],[b (mm)]],AA38)^3</f>
        <v>1235765925.6938643</v>
      </c>
      <c r="AH38" s="132">
        <f>Table112348[[#This Row],[b (mm)]]*AA38^3/12</f>
        <v>560179304.37881768</v>
      </c>
      <c r="AI38" s="132">
        <v>1220</v>
      </c>
      <c r="AJ38" s="136"/>
      <c r="AK38" s="136"/>
      <c r="AN38" s="136"/>
      <c r="AO38" s="136"/>
      <c r="AP38" s="136"/>
      <c r="AQ38"/>
      <c r="AR38"/>
    </row>
    <row r="39" spans="1:44" x14ac:dyDescent="0.25">
      <c r="A39" s="122" t="s">
        <v>179</v>
      </c>
      <c r="B39" s="122" t="s">
        <v>62</v>
      </c>
      <c r="C39" s="122">
        <v>38</v>
      </c>
      <c r="D39" s="130">
        <f>Table112348[[#This Row],[a (mm)]]/Table112348[[#This Row],[d (mm)]]</f>
        <v>2.2857142857142856</v>
      </c>
      <c r="E39" s="122">
        <v>80.064000000000007</v>
      </c>
      <c r="F39" s="127">
        <f>Table112348[[#This Row],[d (mm)]]</f>
        <v>266.7</v>
      </c>
      <c r="G39" s="110">
        <f t="shared" si="21"/>
        <v>48807.0144</v>
      </c>
      <c r="H39" s="110">
        <f t="shared" si="18"/>
        <v>3.3082056581733435E-6</v>
      </c>
      <c r="I39" s="132">
        <f>G39/(Table112348[[#This Row],[b (mm)]]*Z39^2)</f>
        <v>2.9817710669344842E-3</v>
      </c>
      <c r="J39" s="110">
        <f t="shared" si="19"/>
        <v>0.63991481460402977</v>
      </c>
      <c r="K39" s="110">
        <f t="shared" si="20"/>
        <v>2.0633429553139463E-6</v>
      </c>
      <c r="L39" s="132">
        <f>E39/(Table112348[[#This Row],[b (mm)]]*Z39)</f>
        <v>1.3045248417838371E-3</v>
      </c>
      <c r="M39" s="132">
        <f>Table112348[[#This Row],[M (KN.mm)]]/(Table112348[[#This Row],[b (mm)]]*Table112348[[#This Row],[d (mm)]])</f>
        <v>0.79523834355142697</v>
      </c>
      <c r="N39" s="132">
        <f>Table112348[[#This Row],[M (KN.mm)]]/(Table112348[[#This Row],[b (mm)]]*Table112348[[#This Row],[h (mm)]])</f>
        <v>0.68866000884865841</v>
      </c>
      <c r="O39" s="133">
        <f>Table112348[[#This Row],[M (KN.mm)]]/(Table112348[[#This Row],[b (mm)]]*Table112348[[#This Row],[h (mm)]]*Table112348[[#This Row],[L(mm)]])</f>
        <v>5.6447541708906429E-4</v>
      </c>
      <c r="P39" s="133">
        <f>Table112348[[#This Row],[M (KN.mm)]]/(Table112348[[#This Row],[b (mm)]]*Table112348[[#This Row],[d (mm)]]*Table112348[[#This Row],[L(mm)]])</f>
        <v>6.5183470782903855E-4</v>
      </c>
      <c r="Q39" s="133">
        <f>Table112348[[#This Row],[M (KN.mm)]]/(Table112348[[#This Row],[b (mm)]]*Table112348[[#This Row],[h (mm)]]*Table112348[[#This Row],[L(mm)]]*Table112348[[#This Row],[fc (Mpa)]])</f>
        <v>1.8191279957752638E-5</v>
      </c>
      <c r="R39" s="133">
        <f>Table112348[[#This Row],[M (KN.mm)]]/(Table112348[[#This Row],[b (mm)]]*Table112348[[#This Row],[h (mm)]]*Table112348[[#This Row],[L(mm)]]/2)</f>
        <v>1.1289508341781286E-3</v>
      </c>
      <c r="S39" s="133">
        <f>Table112348[[#This Row],[M (KN.mm)]]/(Table112348[[#This Row],[a (mm)]]*Table112348[[#This Row],[b (mm)]]*Table112348[[#This Row],[h (mm)]]*Table112348[[#This Row],[L(mm)]]/2)</f>
        <v>1.8519534681399747E-6</v>
      </c>
      <c r="T39" s="110">
        <f>G39/($AK$5*AH39*0.001*Table112348[[#This Row],[pho (%)]])</f>
        <v>5.2511200923386413E-6</v>
      </c>
      <c r="U39" s="133">
        <f>Table112348[[#This Row],[M (KN.mm)]]/(Table112348[[#This Row],[b (mm)]]*Table112348[[#This Row],[d (mm)]]*Table112348[[#This Row],[pho (%)]])</f>
        <v>1.262283085002265</v>
      </c>
      <c r="V39" s="110">
        <f>E39*224.8/(2*SQRT(Table112348[[#This Row],[fc (Mpa)]]*145.037)*Table112348[[#This Row],[b (mm)]]*Table112348[[#This Row],[d (mm)]]*(1/25.4)^2)</f>
        <v>1.4101191363893351</v>
      </c>
      <c r="W39" s="110">
        <f>Table112348[[#This Row],[M (KN.mm)]]/$G$43</f>
        <v>0.58064516129032273</v>
      </c>
      <c r="X39" s="110">
        <f t="shared" si="17"/>
        <v>1.4101191363893351</v>
      </c>
      <c r="Y39" s="110">
        <f t="shared" si="13"/>
        <v>609.59999999999991</v>
      </c>
      <c r="Z39" s="110">
        <f t="shared" si="22"/>
        <v>266.7</v>
      </c>
      <c r="AA39" s="110">
        <f t="shared" si="23"/>
        <v>307.97499999999997</v>
      </c>
      <c r="AB39" s="134">
        <f t="shared" si="24"/>
        <v>230.124</v>
      </c>
      <c r="AC39" s="7">
        <v>31.03</v>
      </c>
      <c r="AD39" s="110">
        <f>Table112348[[#This Row],[pho (%)]]/100*Table112348[[#This Row],[b (mm)]]*Table112348[[#This Row],[h (mm)]]</f>
        <v>446.49636506999991</v>
      </c>
      <c r="AE39" s="135">
        <v>0.63</v>
      </c>
      <c r="AF39" s="110">
        <v>640.5</v>
      </c>
      <c r="AG39" s="132">
        <f>(1/3-0.21*(MIN(Table112348[[#This Row],[b (mm)]],AA39)/MAX(Table112348[[#This Row],[b (mm)]],AA39))*(MIN(Table112348[[#This Row],[b (mm)]],AA39)^4/(12*MAX(Table112348[[#This Row],[b (mm)]],AA39)^4)))*MAX(Table112348[[#This Row],[b (mm)]],AA39)*MIN(Table112348[[#This Row],[b (mm)]],AA39)^3</f>
        <v>1235765925.6938643</v>
      </c>
      <c r="AH39" s="132">
        <f>Table112348[[#This Row],[b (mm)]]*AA39^3/12</f>
        <v>560179304.37881768</v>
      </c>
      <c r="AI39" s="132">
        <v>1220</v>
      </c>
      <c r="AJ39" s="136"/>
      <c r="AK39" s="136"/>
      <c r="AN39" s="136"/>
      <c r="AO39" s="136"/>
      <c r="AP39" s="136"/>
      <c r="AQ39"/>
      <c r="AR39"/>
    </row>
    <row r="40" spans="1:44" x14ac:dyDescent="0.25">
      <c r="A40" s="122" t="s">
        <v>179</v>
      </c>
      <c r="B40" s="122" t="s">
        <v>63</v>
      </c>
      <c r="C40" s="122">
        <v>39</v>
      </c>
      <c r="D40" s="130">
        <f>Table112348[[#This Row],[a (mm)]]/Table112348[[#This Row],[d (mm)]]</f>
        <v>2.2857142857142856</v>
      </c>
      <c r="E40" s="122">
        <v>93.408000000000015</v>
      </c>
      <c r="F40" s="127">
        <f>Table112348[[#This Row],[d (mm)]]</f>
        <v>266.7</v>
      </c>
      <c r="G40" s="110">
        <f t="shared" si="21"/>
        <v>56941.516799999998</v>
      </c>
      <c r="H40" s="110">
        <f t="shared" si="18"/>
        <v>3.8595732678689008E-6</v>
      </c>
      <c r="I40" s="132">
        <f>G40/(Table112348[[#This Row],[b (mm)]]*Z40^2)</f>
        <v>3.4787329114235651E-3</v>
      </c>
      <c r="J40" s="110">
        <f t="shared" si="19"/>
        <v>0.74656728370470138</v>
      </c>
      <c r="K40" s="110">
        <f t="shared" si="20"/>
        <v>2.4072334478662707E-6</v>
      </c>
      <c r="L40" s="132">
        <f>E40/(Table112348[[#This Row],[b (mm)]]*Z40)</f>
        <v>1.5219456487478101E-3</v>
      </c>
      <c r="M40" s="132">
        <f>Table112348[[#This Row],[M (KN.mm)]]/(Table112348[[#This Row],[b (mm)]]*Table112348[[#This Row],[d (mm)]])</f>
        <v>0.9277780674766648</v>
      </c>
      <c r="N40" s="132">
        <f>Table112348[[#This Row],[M (KN.mm)]]/(Table112348[[#This Row],[b (mm)]]*Table112348[[#This Row],[h (mm)]])</f>
        <v>0.80343667699010146</v>
      </c>
      <c r="O40" s="133">
        <f>Table112348[[#This Row],[M (KN.mm)]]/(Table112348[[#This Row],[b (mm)]]*Table112348[[#This Row],[h (mm)]]*Table112348[[#This Row],[L(mm)]])</f>
        <v>6.58554653270575E-4</v>
      </c>
      <c r="P40" s="133">
        <f>Table112348[[#This Row],[M (KN.mm)]]/(Table112348[[#This Row],[b (mm)]]*Table112348[[#This Row],[d (mm)]]*Table112348[[#This Row],[L(mm)]])</f>
        <v>7.6047382580054503E-4</v>
      </c>
      <c r="Q40" s="133">
        <f>Table112348[[#This Row],[M (KN.mm)]]/(Table112348[[#This Row],[b (mm)]]*Table112348[[#This Row],[h (mm)]]*Table112348[[#This Row],[L(mm)]]*Table112348[[#This Row],[fc (Mpa)]])</f>
        <v>2.1223159950711408E-5</v>
      </c>
      <c r="R40" s="133">
        <f>Table112348[[#This Row],[M (KN.mm)]]/(Table112348[[#This Row],[b (mm)]]*Table112348[[#This Row],[h (mm)]]*Table112348[[#This Row],[L(mm)]]/2)</f>
        <v>1.31710930654115E-3</v>
      </c>
      <c r="S40" s="133">
        <f>Table112348[[#This Row],[M (KN.mm)]]/(Table112348[[#This Row],[a (mm)]]*Table112348[[#This Row],[b (mm)]]*Table112348[[#This Row],[h (mm)]]*Table112348[[#This Row],[L(mm)]]/2)</f>
        <v>2.1606123794966373E-6</v>
      </c>
      <c r="T40" s="110">
        <f>G40/($AK$5*AH40*0.001*Table112348[[#This Row],[pho (%)]])</f>
        <v>6.1263067743950811E-6</v>
      </c>
      <c r="U40" s="133">
        <f>Table112348[[#This Row],[M (KN.mm)]]/(Table112348[[#This Row],[b (mm)]]*Table112348[[#This Row],[d (mm)]]*Table112348[[#This Row],[pho (%)]])</f>
        <v>1.4726635991693091</v>
      </c>
      <c r="V40" s="110">
        <f>E40*224.8/(2*SQRT(Table112348[[#This Row],[fc (Mpa)]]*145.037)*Table112348[[#This Row],[b (mm)]]*Table112348[[#This Row],[d (mm)]]*(1/25.4)^2)</f>
        <v>1.6451389924542243</v>
      </c>
      <c r="W40" s="110">
        <f>Table112348[[#This Row],[M (KN.mm)]]/$G$43</f>
        <v>0.67741935483870974</v>
      </c>
      <c r="X40" s="110">
        <f t="shared" si="17"/>
        <v>1.6451389924542243</v>
      </c>
      <c r="Y40" s="110">
        <f t="shared" si="13"/>
        <v>609.59999999999991</v>
      </c>
      <c r="Z40" s="110">
        <f t="shared" si="22"/>
        <v>266.7</v>
      </c>
      <c r="AA40" s="110">
        <f t="shared" si="23"/>
        <v>307.97499999999997</v>
      </c>
      <c r="AB40" s="134">
        <f t="shared" si="24"/>
        <v>230.124</v>
      </c>
      <c r="AC40" s="7">
        <v>31.03</v>
      </c>
      <c r="AD40" s="110">
        <f>Table112348[[#This Row],[pho (%)]]/100*Table112348[[#This Row],[b (mm)]]*Table112348[[#This Row],[h (mm)]]</f>
        <v>446.49636506999991</v>
      </c>
      <c r="AE40" s="135">
        <v>0.63</v>
      </c>
      <c r="AF40" s="110">
        <v>640.5</v>
      </c>
      <c r="AG40" s="132">
        <f>(1/3-0.21*(MIN(Table112348[[#This Row],[b (mm)]],AA40)/MAX(Table112348[[#This Row],[b (mm)]],AA40))*(MIN(Table112348[[#This Row],[b (mm)]],AA40)^4/(12*MAX(Table112348[[#This Row],[b (mm)]],AA40)^4)))*MAX(Table112348[[#This Row],[b (mm)]],AA40)*MIN(Table112348[[#This Row],[b (mm)]],AA40)^3</f>
        <v>1235765925.6938643</v>
      </c>
      <c r="AH40" s="132">
        <f>Table112348[[#This Row],[b (mm)]]*AA40^3/12</f>
        <v>560179304.37881768</v>
      </c>
      <c r="AI40" s="132">
        <v>1220</v>
      </c>
      <c r="AJ40" s="136"/>
      <c r="AK40" s="136"/>
      <c r="AN40" s="136"/>
      <c r="AO40" s="136"/>
      <c r="AP40" s="136"/>
      <c r="AQ40"/>
      <c r="AR40"/>
    </row>
    <row r="41" spans="1:44" x14ac:dyDescent="0.25">
      <c r="A41" s="122" t="s">
        <v>179</v>
      </c>
      <c r="B41" s="122" t="s">
        <v>64</v>
      </c>
      <c r="C41" s="122">
        <v>40</v>
      </c>
      <c r="D41" s="130">
        <f>Table112348[[#This Row],[a (mm)]]/Table112348[[#This Row],[d (mm)]]</f>
        <v>2.2857142857142856</v>
      </c>
      <c r="E41" s="122">
        <v>106.75200000000001</v>
      </c>
      <c r="F41" s="127">
        <f>Table112348[[#This Row],[d (mm)]]</f>
        <v>266.7</v>
      </c>
      <c r="G41" s="110">
        <f t="shared" si="21"/>
        <v>65076.019199999995</v>
      </c>
      <c r="H41" s="110">
        <f t="shared" si="18"/>
        <v>4.410940877564458E-6</v>
      </c>
      <c r="I41" s="132">
        <f>G41/(Table112348[[#This Row],[b (mm)]]*Z41^2)</f>
        <v>3.9756947559126459E-3</v>
      </c>
      <c r="J41" s="110">
        <f t="shared" si="19"/>
        <v>0.85321975280537299</v>
      </c>
      <c r="K41" s="110">
        <f t="shared" si="20"/>
        <v>2.751123940418595E-6</v>
      </c>
      <c r="L41" s="132">
        <f>E41/(Table112348[[#This Row],[b (mm)]]*Z41)</f>
        <v>1.7393664557117828E-3</v>
      </c>
      <c r="M41" s="132">
        <f>Table112348[[#This Row],[M (KN.mm)]]/(Table112348[[#This Row],[b (mm)]]*Table112348[[#This Row],[d (mm)]])</f>
        <v>1.0603177914019026</v>
      </c>
      <c r="N41" s="132">
        <f>Table112348[[#This Row],[M (KN.mm)]]/(Table112348[[#This Row],[b (mm)]]*Table112348[[#This Row],[h (mm)]])</f>
        <v>0.91821334513154451</v>
      </c>
      <c r="O41" s="133">
        <f>Table112348[[#This Row],[M (KN.mm)]]/(Table112348[[#This Row],[b (mm)]]*Table112348[[#This Row],[h (mm)]]*Table112348[[#This Row],[L(mm)]])</f>
        <v>7.5263388945208572E-4</v>
      </c>
      <c r="P41" s="133">
        <f>Table112348[[#This Row],[M (KN.mm)]]/(Table112348[[#This Row],[b (mm)]]*Table112348[[#This Row],[d (mm)]]*Table112348[[#This Row],[L(mm)]])</f>
        <v>8.691129437720514E-4</v>
      </c>
      <c r="Q41" s="133">
        <f>Table112348[[#This Row],[M (KN.mm)]]/(Table112348[[#This Row],[b (mm)]]*Table112348[[#This Row],[h (mm)]]*Table112348[[#This Row],[L(mm)]]*Table112348[[#This Row],[fc (Mpa)]])</f>
        <v>2.4255039943670181E-5</v>
      </c>
      <c r="R41" s="133">
        <f>Table112348[[#This Row],[M (KN.mm)]]/(Table112348[[#This Row],[b (mm)]]*Table112348[[#This Row],[h (mm)]]*Table112348[[#This Row],[L(mm)]]/2)</f>
        <v>1.5052677789041714E-3</v>
      </c>
      <c r="S41" s="133">
        <f>Table112348[[#This Row],[M (KN.mm)]]/(Table112348[[#This Row],[a (mm)]]*Table112348[[#This Row],[b (mm)]]*Table112348[[#This Row],[h (mm)]]*Table112348[[#This Row],[L(mm)]]/2)</f>
        <v>2.4692712908532994E-6</v>
      </c>
      <c r="T41" s="110">
        <f>G41/($AK$5*AH41*0.001*Table112348[[#This Row],[pho (%)]])</f>
        <v>7.0014934564515209E-6</v>
      </c>
      <c r="U41" s="133">
        <f>Table112348[[#This Row],[M (KN.mm)]]/(Table112348[[#This Row],[b (mm)]]*Table112348[[#This Row],[d (mm)]]*Table112348[[#This Row],[pho (%)]])</f>
        <v>1.6830441133363532</v>
      </c>
      <c r="V41" s="110">
        <f>E41*224.8/(2*SQRT(Table112348[[#This Row],[fc (Mpa)]]*145.037)*Table112348[[#This Row],[b (mm)]]*Table112348[[#This Row],[d (mm)]]*(1/25.4)^2)</f>
        <v>1.8801588485191139</v>
      </c>
      <c r="W41" s="110">
        <f>Table112348[[#This Row],[M (KN.mm)]]/$G$43</f>
        <v>0.77419354838709686</v>
      </c>
      <c r="X41" s="110">
        <f t="shared" si="17"/>
        <v>1.8801588485191139</v>
      </c>
      <c r="Y41" s="110">
        <f t="shared" si="13"/>
        <v>609.59999999999991</v>
      </c>
      <c r="Z41" s="110">
        <f t="shared" si="22"/>
        <v>266.7</v>
      </c>
      <c r="AA41" s="110">
        <f t="shared" si="23"/>
        <v>307.97499999999997</v>
      </c>
      <c r="AB41" s="134">
        <f t="shared" si="24"/>
        <v>230.124</v>
      </c>
      <c r="AC41" s="7">
        <v>31.03</v>
      </c>
      <c r="AD41" s="110">
        <f>Table112348[[#This Row],[pho (%)]]/100*Table112348[[#This Row],[b (mm)]]*Table112348[[#This Row],[h (mm)]]</f>
        <v>446.49636506999991</v>
      </c>
      <c r="AE41" s="135">
        <v>0.63</v>
      </c>
      <c r="AF41" s="110">
        <v>640.5</v>
      </c>
      <c r="AG41" s="132">
        <f>(1/3-0.21*(MIN(Table112348[[#This Row],[b (mm)]],AA41)/MAX(Table112348[[#This Row],[b (mm)]],AA41))*(MIN(Table112348[[#This Row],[b (mm)]],AA41)^4/(12*MAX(Table112348[[#This Row],[b (mm)]],AA41)^4)))*MAX(Table112348[[#This Row],[b (mm)]],AA41)*MIN(Table112348[[#This Row],[b (mm)]],AA41)^3</f>
        <v>1235765925.6938643</v>
      </c>
      <c r="AH41" s="132">
        <f>Table112348[[#This Row],[b (mm)]]*AA41^3/12</f>
        <v>560179304.37881768</v>
      </c>
      <c r="AI41" s="132">
        <v>1220</v>
      </c>
      <c r="AJ41" s="136"/>
      <c r="AK41" s="136"/>
      <c r="AN41" s="136"/>
      <c r="AO41" s="136"/>
      <c r="AP41" s="136"/>
      <c r="AQ41"/>
      <c r="AR41"/>
    </row>
    <row r="42" spans="1:44" x14ac:dyDescent="0.25">
      <c r="A42" s="122" t="s">
        <v>179</v>
      </c>
      <c r="B42" s="122" t="s">
        <v>65</v>
      </c>
      <c r="C42" s="122">
        <v>41</v>
      </c>
      <c r="D42" s="130">
        <f>Table112348[[#This Row],[a (mm)]]/Table112348[[#This Row],[d (mm)]]</f>
        <v>2.2857142857142856</v>
      </c>
      <c r="E42" s="122">
        <v>120.096</v>
      </c>
      <c r="F42" s="127">
        <f>Table112348[[#This Row],[d (mm)]]</f>
        <v>266.7</v>
      </c>
      <c r="G42" s="110">
        <f t="shared" si="21"/>
        <v>73210.521599999993</v>
      </c>
      <c r="H42" s="110">
        <f t="shared" si="18"/>
        <v>4.9623084872600153E-6</v>
      </c>
      <c r="I42" s="132">
        <f>G42/(Table112348[[#This Row],[b (mm)]]*Z42^2)</f>
        <v>4.4726566004017259E-3</v>
      </c>
      <c r="J42" s="110">
        <f t="shared" si="19"/>
        <v>0.9598722219060446</v>
      </c>
      <c r="K42" s="110">
        <f t="shared" si="20"/>
        <v>3.095014432970919E-6</v>
      </c>
      <c r="L42" s="132">
        <f>E42/(Table112348[[#This Row],[b (mm)]]*Z42)</f>
        <v>1.9567872626757555E-3</v>
      </c>
      <c r="M42" s="132">
        <f>Table112348[[#This Row],[M (KN.mm)]]/(Table112348[[#This Row],[b (mm)]]*Table112348[[#This Row],[d (mm)]])</f>
        <v>1.1928575153271403</v>
      </c>
      <c r="N42" s="132">
        <f>Table112348[[#This Row],[M (KN.mm)]]/(Table112348[[#This Row],[b (mm)]]*Table112348[[#This Row],[h (mm)]])</f>
        <v>1.0329900132729875</v>
      </c>
      <c r="O42" s="133">
        <f>Table112348[[#This Row],[M (KN.mm)]]/(Table112348[[#This Row],[b (mm)]]*Table112348[[#This Row],[h (mm)]]*Table112348[[#This Row],[L(mm)]])</f>
        <v>8.4671312563359643E-4</v>
      </c>
      <c r="P42" s="133">
        <f>Table112348[[#This Row],[M (KN.mm)]]/(Table112348[[#This Row],[b (mm)]]*Table112348[[#This Row],[d (mm)]]*Table112348[[#This Row],[L(mm)]])</f>
        <v>9.7775206174355767E-4</v>
      </c>
      <c r="Q42" s="133">
        <f>Table112348[[#This Row],[M (KN.mm)]]/(Table112348[[#This Row],[b (mm)]]*Table112348[[#This Row],[h (mm)]]*Table112348[[#This Row],[L(mm)]]*Table112348[[#This Row],[fc (Mpa)]])</f>
        <v>2.7286919936628955E-5</v>
      </c>
      <c r="R42" s="133">
        <f>Table112348[[#This Row],[M (KN.mm)]]/(Table112348[[#This Row],[b (mm)]]*Table112348[[#This Row],[h (mm)]]*Table112348[[#This Row],[L(mm)]]/2)</f>
        <v>1.6934262512671929E-3</v>
      </c>
      <c r="S42" s="133">
        <f>Table112348[[#This Row],[M (KN.mm)]]/(Table112348[[#This Row],[a (mm)]]*Table112348[[#This Row],[b (mm)]]*Table112348[[#This Row],[h (mm)]]*Table112348[[#This Row],[L(mm)]]/2)</f>
        <v>2.7779302022099619E-6</v>
      </c>
      <c r="T42" s="110">
        <f>G42/($AK$5*AH42*0.001*Table112348[[#This Row],[pho (%)]])</f>
        <v>7.8766801385079598E-6</v>
      </c>
      <c r="U42" s="133">
        <f>Table112348[[#This Row],[M (KN.mm)]]/(Table112348[[#This Row],[b (mm)]]*Table112348[[#This Row],[d (mm)]]*Table112348[[#This Row],[pho (%)]])</f>
        <v>1.8934246275033975</v>
      </c>
      <c r="V42" s="110">
        <f>E42*224.8/(2*SQRT(Table112348[[#This Row],[fc (Mpa)]]*145.037)*Table112348[[#This Row],[b (mm)]]*Table112348[[#This Row],[d (mm)]]*(1/25.4)^2)</f>
        <v>2.1151787045840029</v>
      </c>
      <c r="W42" s="110">
        <f>Table112348[[#This Row],[M (KN.mm)]]/$G$43</f>
        <v>0.87096774193548399</v>
      </c>
      <c r="X42" s="110">
        <f t="shared" si="17"/>
        <v>2.1151787045840029</v>
      </c>
      <c r="Y42" s="110">
        <f t="shared" si="13"/>
        <v>609.59999999999991</v>
      </c>
      <c r="Z42" s="110">
        <f>10.5*25.4</f>
        <v>266.7</v>
      </c>
      <c r="AA42" s="110">
        <f>12.125*25.4</f>
        <v>307.97499999999997</v>
      </c>
      <c r="AB42" s="134">
        <f>9.06*25.4</f>
        <v>230.124</v>
      </c>
      <c r="AC42" s="7">
        <v>31.03</v>
      </c>
      <c r="AD42" s="110">
        <f>Table112348[[#This Row],[pho (%)]]/100*Table112348[[#This Row],[b (mm)]]*Table112348[[#This Row],[h (mm)]]</f>
        <v>446.49636506999991</v>
      </c>
      <c r="AE42" s="135">
        <v>0.63</v>
      </c>
      <c r="AF42" s="110">
        <v>640.5</v>
      </c>
      <c r="AG42" s="132">
        <f>(1/3-0.21*(MIN(Table112348[[#This Row],[b (mm)]],AA42)/MAX(Table112348[[#This Row],[b (mm)]],AA42))*(MIN(Table112348[[#This Row],[b (mm)]],AA42)^4/(12*MAX(Table112348[[#This Row],[b (mm)]],AA42)^4)))*MAX(Table112348[[#This Row],[b (mm)]],AA42)*MIN(Table112348[[#This Row],[b (mm)]],AA42)^3</f>
        <v>1235765925.6938643</v>
      </c>
      <c r="AH42" s="132">
        <f>Table112348[[#This Row],[b (mm)]]*AA42^3/12</f>
        <v>560179304.37881768</v>
      </c>
      <c r="AI42" s="132">
        <v>1220</v>
      </c>
      <c r="AJ42" s="136"/>
      <c r="AK42" s="136"/>
      <c r="AN42" s="136"/>
      <c r="AO42" s="136"/>
      <c r="AP42" s="136"/>
      <c r="AQ42"/>
      <c r="AR42"/>
    </row>
    <row r="43" spans="1:44" x14ac:dyDescent="0.25">
      <c r="A43" s="122" t="s">
        <v>179</v>
      </c>
      <c r="B43" s="122" t="s">
        <v>66</v>
      </c>
      <c r="C43" s="122">
        <v>42</v>
      </c>
      <c r="D43" s="130">
        <f>Table112348[[#This Row],[a (mm)]]/Table112348[[#This Row],[d (mm)]]</f>
        <v>2.2857142857142856</v>
      </c>
      <c r="E43" s="122">
        <v>137.88800000000001</v>
      </c>
      <c r="F43" s="127">
        <f>Table112348[[#This Row],[d (mm)]]</f>
        <v>266.7</v>
      </c>
      <c r="G43" s="110">
        <f t="shared" si="21"/>
        <v>84056.524799999985</v>
      </c>
      <c r="H43" s="110">
        <f t="shared" si="18"/>
        <v>5.6974653001874238E-6</v>
      </c>
      <c r="I43" s="132">
        <f>G43/(Table112348[[#This Row],[b (mm)]]*Z43^2)</f>
        <v>5.1352723930538332E-3</v>
      </c>
      <c r="J43" s="110">
        <f t="shared" si="19"/>
        <v>1.1020755140402734</v>
      </c>
      <c r="K43" s="110">
        <f t="shared" si="20"/>
        <v>3.5535350897073518E-6</v>
      </c>
      <c r="L43" s="132">
        <f>E43/(Table112348[[#This Row],[b (mm)]]*Z43)</f>
        <v>2.2466816719610527E-3</v>
      </c>
      <c r="M43" s="132">
        <f>Table112348[[#This Row],[M (KN.mm)]]/(Table112348[[#This Row],[b (mm)]]*Table112348[[#This Row],[d (mm)]])</f>
        <v>1.3695771472274574</v>
      </c>
      <c r="N43" s="132">
        <f>Table112348[[#This Row],[M (KN.mm)]]/(Table112348[[#This Row],[b (mm)]]*Table112348[[#This Row],[h (mm)]])</f>
        <v>1.1860255707949114</v>
      </c>
      <c r="O43" s="133">
        <f>Table112348[[#This Row],[M (KN.mm)]]/(Table112348[[#This Row],[b (mm)]]*Table112348[[#This Row],[h (mm)]]*Table112348[[#This Row],[L(mm)]])</f>
        <v>9.7215210720894387E-4</v>
      </c>
      <c r="P43" s="133">
        <f>Table112348[[#This Row],[M (KN.mm)]]/(Table112348[[#This Row],[b (mm)]]*Table112348[[#This Row],[d (mm)]]*Table112348[[#This Row],[L(mm)]])</f>
        <v>1.1226042190388996E-3</v>
      </c>
      <c r="Q43" s="133">
        <f>Table112348[[#This Row],[M (KN.mm)]]/(Table112348[[#This Row],[b (mm)]]*Table112348[[#This Row],[h (mm)]]*Table112348[[#This Row],[L(mm)]]*Table112348[[#This Row],[fc (Mpa)]])</f>
        <v>3.1329426593907312E-5</v>
      </c>
      <c r="R43" s="133">
        <f>Table112348[[#This Row],[M (KN.mm)]]/(Table112348[[#This Row],[b (mm)]]*Table112348[[#This Row],[h (mm)]]*Table112348[[#This Row],[L(mm)]]/2)</f>
        <v>1.9443042144178877E-3</v>
      </c>
      <c r="S43" s="133">
        <f>Table112348[[#This Row],[M (KN.mm)]]/(Table112348[[#This Row],[a (mm)]]*Table112348[[#This Row],[b (mm)]]*Table112348[[#This Row],[h (mm)]]*Table112348[[#This Row],[L(mm)]]/2)</f>
        <v>3.1894754173521783E-6</v>
      </c>
      <c r="T43" s="110">
        <f>G43/($AK$5*AH43*0.001*Table112348[[#This Row],[pho (%)]])</f>
        <v>9.043595714583214E-6</v>
      </c>
      <c r="U43" s="133">
        <f>Table112348[[#This Row],[M (KN.mm)]]/(Table112348[[#This Row],[b (mm)]]*Table112348[[#This Row],[d (mm)]]*Table112348[[#This Row],[pho (%)]])</f>
        <v>2.173931979726123</v>
      </c>
      <c r="V43" s="110">
        <f>E43*224.8/(2*SQRT(Table112348[[#This Row],[fc (Mpa)]]*145.037)*Table112348[[#This Row],[b (mm)]]*Table112348[[#This Row],[d (mm)]]*(1/25.4)^2)</f>
        <v>2.4285385126705217</v>
      </c>
      <c r="W43" s="110">
        <f>Table112348[[#This Row],[M (KN.mm)]]/$G$43</f>
        <v>1</v>
      </c>
      <c r="X43" s="110">
        <f t="shared" si="17"/>
        <v>2.4285385126705217</v>
      </c>
      <c r="Y43" s="110">
        <f t="shared" si="13"/>
        <v>609.59999999999991</v>
      </c>
      <c r="Z43" s="110">
        <f t="shared" si="22"/>
        <v>266.7</v>
      </c>
      <c r="AA43" s="110">
        <f t="shared" si="23"/>
        <v>307.97499999999997</v>
      </c>
      <c r="AB43" s="134">
        <f t="shared" si="24"/>
        <v>230.124</v>
      </c>
      <c r="AC43" s="7">
        <v>31.03</v>
      </c>
      <c r="AD43" s="110">
        <f>Table112348[[#This Row],[pho (%)]]/100*Table112348[[#This Row],[b (mm)]]*Table112348[[#This Row],[h (mm)]]</f>
        <v>446.49636506999991</v>
      </c>
      <c r="AE43" s="135">
        <v>0.63</v>
      </c>
      <c r="AF43" s="110">
        <v>640.5</v>
      </c>
      <c r="AG43" s="132">
        <f>(1/3-0.21*(MIN(Table112348[[#This Row],[b (mm)]],AA43)/MAX(Table112348[[#This Row],[b (mm)]],AA43))*(MIN(Table112348[[#This Row],[b (mm)]],AA43)^4/(12*MAX(Table112348[[#This Row],[b (mm)]],AA43)^4)))*MAX(Table112348[[#This Row],[b (mm)]],AA43)*MIN(Table112348[[#This Row],[b (mm)]],AA43)^3</f>
        <v>1235765925.6938643</v>
      </c>
      <c r="AH43" s="132">
        <f>Table112348[[#This Row],[b (mm)]]*AA43^3/12</f>
        <v>560179304.37881768</v>
      </c>
      <c r="AI43" s="132">
        <v>1220</v>
      </c>
      <c r="AJ43" s="136"/>
      <c r="AK43" s="136"/>
      <c r="AN43" s="136"/>
      <c r="AO43" s="136"/>
      <c r="AP43" s="136"/>
      <c r="AQ43"/>
      <c r="AR43"/>
    </row>
    <row r="44" spans="1:44" x14ac:dyDescent="0.25">
      <c r="A44" s="224" t="s">
        <v>180</v>
      </c>
      <c r="B44" s="224" t="s">
        <v>60</v>
      </c>
      <c r="C44" s="181">
        <v>43</v>
      </c>
      <c r="D44" s="130">
        <f>Table112348[[#This Row],[a (mm)]]/Table112348[[#This Row],[d (mm)]]</f>
        <v>2.2857142857142856</v>
      </c>
      <c r="E44" s="224">
        <v>53.376000000000005</v>
      </c>
      <c r="F44" s="127">
        <f>Table112348[[#This Row],[d (mm)]]</f>
        <v>266.7</v>
      </c>
      <c r="G44" s="110">
        <f t="shared" si="21"/>
        <v>32538.009599999998</v>
      </c>
      <c r="H44" s="110">
        <f t="shared" si="18"/>
        <v>2.2201735750407769E-6</v>
      </c>
      <c r="I44" s="132">
        <f>G44/(Table112348[[#This Row],[b (mm)]]*Z44^2)</f>
        <v>2.0010996938093651E-3</v>
      </c>
      <c r="J44" s="110">
        <f t="shared" si="19"/>
        <v>0.42945394224537103</v>
      </c>
      <c r="K44" s="110">
        <f t="shared" si="20"/>
        <v>1.4026895622390826E-6</v>
      </c>
      <c r="L44" s="132">
        <f>E44/(Table112348[[#This Row],[b (mm)]]*Z44)</f>
        <v>8.7548111604159734E-4</v>
      </c>
      <c r="M44" s="132">
        <f>Table112348[[#This Row],[M (KN.mm)]]/(Table112348[[#This Row],[b (mm)]]*Table112348[[#This Row],[d (mm)]])</f>
        <v>0.53369328833895768</v>
      </c>
      <c r="N44" s="132">
        <f>Table112348[[#This Row],[M (KN.mm)]]/(Table112348[[#This Row],[b (mm)]]*Table112348[[#This Row],[h (mm)]])</f>
        <v>0.46216738371621074</v>
      </c>
      <c r="O44" s="133">
        <f>Table112348[[#This Row],[M (KN.mm)]]/(Table112348[[#This Row],[b (mm)]]*Table112348[[#This Row],[h (mm)]]*Table112348[[#This Row],[L(mm)]])</f>
        <v>3.788257243575498E-4</v>
      </c>
      <c r="P44" s="133">
        <f>Table112348[[#This Row],[M (KN.mm)]]/(Table112348[[#This Row],[b (mm)]]*Table112348[[#This Row],[d (mm)]]*Table112348[[#This Row],[L(mm)]])</f>
        <v>4.3745351503193249E-4</v>
      </c>
      <c r="Q44" s="133">
        <f>Table112348[[#This Row],[M (KN.mm)]]/(Table112348[[#This Row],[b (mm)]]*Table112348[[#This Row],[h (mm)]]*Table112348[[#This Row],[L(mm)]]*Table112348[[#This Row],[fc (Mpa)]])</f>
        <v>1.194656967384263E-5</v>
      </c>
      <c r="R44" s="133">
        <f>Table112348[[#This Row],[M (KN.mm)]]/(Table112348[[#This Row],[b (mm)]]*Table112348[[#This Row],[h (mm)]]*Table112348[[#This Row],[L(mm)]]/2)</f>
        <v>7.5765144871509961E-4</v>
      </c>
      <c r="S44" s="133">
        <f>Table112348[[#This Row],[M (KN.mm)]]/(Table112348[[#This Row],[a (mm)]]*Table112348[[#This Row],[b (mm)]]*Table112348[[#This Row],[h (mm)]]*Table112348[[#This Row],[L(mm)]]/2)</f>
        <v>1.2428665497294943E-6</v>
      </c>
      <c r="T44" s="110">
        <f>G44/($AK$5*AH44*0.001*Table112348[[#This Row],[pho (%)]])</f>
        <v>3.5240850397472651E-6</v>
      </c>
      <c r="U44" s="133">
        <f>Table112348[[#This Row],[M (KN.mm)]]/(Table112348[[#This Row],[b (mm)]]*Table112348[[#This Row],[d (mm)]]*Table112348[[#This Row],[pho (%)]])</f>
        <v>0.84713220371263109</v>
      </c>
      <c r="V44" s="110">
        <f>E44*224.8/(2*SQRT(Table112348[[#This Row],[fc (Mpa)]]*145.037)*Table112348[[#This Row],[b (mm)]]*Table112348[[#This Row],[d (mm)]]*(1/25.4)^2)</f>
        <v>0.93614474185990759</v>
      </c>
      <c r="W44" s="110">
        <f>Table112348[[#This Row],[M (KN.mm)]]/$G$50</f>
        <v>0.41379310344827586</v>
      </c>
      <c r="X44" s="110">
        <f t="shared" si="17"/>
        <v>0.93614474185990759</v>
      </c>
      <c r="Y44" s="110">
        <f t="shared" si="13"/>
        <v>609.59999999999991</v>
      </c>
      <c r="Z44" s="110">
        <f t="shared" si="22"/>
        <v>266.7</v>
      </c>
      <c r="AA44" s="110">
        <f t="shared" si="23"/>
        <v>307.97499999999997</v>
      </c>
      <c r="AB44" s="134">
        <f>9*25.4</f>
        <v>228.6</v>
      </c>
      <c r="AC44" s="7">
        <v>31.71</v>
      </c>
      <c r="AD44" s="110">
        <f>Table112348[[#This Row],[pho (%)]]/100*Table112348[[#This Row],[b (mm)]]*Table112348[[#This Row],[h (mm)]]</f>
        <v>443.53943549999997</v>
      </c>
      <c r="AE44" s="135">
        <v>0.63</v>
      </c>
      <c r="AF44" s="110">
        <v>640.5</v>
      </c>
      <c r="AG44" s="132">
        <f>(1/3-0.21*(MIN(Table112348[[#This Row],[b (mm)]],AA44)/MAX(Table112348[[#This Row],[b (mm)]],AA44))*(MIN(Table112348[[#This Row],[b (mm)]],AA44)^4/(12*MAX(Table112348[[#This Row],[b (mm)]],AA44)^4)))*MAX(Table112348[[#This Row],[b (mm)]],AA44)*MIN(Table112348[[#This Row],[b (mm)]],AA44)^3</f>
        <v>1211866586.3254154</v>
      </c>
      <c r="AH44" s="132">
        <f>Table112348[[#This Row],[b (mm)]]*AA44^3/12</f>
        <v>556469507.66107714</v>
      </c>
      <c r="AI44" s="132">
        <v>1220</v>
      </c>
      <c r="AJ44" s="136"/>
      <c r="AK44" s="136"/>
      <c r="AN44" s="136"/>
      <c r="AO44" s="136"/>
      <c r="AP44" s="136"/>
      <c r="AQ44"/>
      <c r="AR44"/>
    </row>
    <row r="45" spans="1:44" x14ac:dyDescent="0.25">
      <c r="A45" s="224" t="s">
        <v>180</v>
      </c>
      <c r="B45" s="224" t="s">
        <v>61</v>
      </c>
      <c r="C45" s="181">
        <v>44</v>
      </c>
      <c r="D45" s="130">
        <f>Table112348[[#This Row],[a (mm)]]/Table112348[[#This Row],[d (mm)]]</f>
        <v>2.2857142857142856</v>
      </c>
      <c r="E45" s="224">
        <v>66.72</v>
      </c>
      <c r="F45" s="127">
        <f>Table112348[[#This Row],[d (mm)]]</f>
        <v>266.7</v>
      </c>
      <c r="G45" s="110">
        <f t="shared" si="21"/>
        <v>40672.511999999995</v>
      </c>
      <c r="H45" s="110">
        <f t="shared" si="18"/>
        <v>2.7752169688009711E-6</v>
      </c>
      <c r="I45" s="132">
        <f>G45/(Table112348[[#This Row],[b (mm)]]*Z45^2)</f>
        <v>2.5013746172617059E-3</v>
      </c>
      <c r="J45" s="110">
        <f t="shared" si="19"/>
        <v>0.53681742780671371</v>
      </c>
      <c r="K45" s="110">
        <f t="shared" si="20"/>
        <v>1.7533619527988531E-6</v>
      </c>
      <c r="L45" s="132">
        <f>E45/(Table112348[[#This Row],[b (mm)]]*Z45)</f>
        <v>1.0943513950519965E-3</v>
      </c>
      <c r="M45" s="132">
        <f>Table112348[[#This Row],[M (KN.mm)]]/(Table112348[[#This Row],[b (mm)]]*Table112348[[#This Row],[d (mm)]])</f>
        <v>0.66711661042369697</v>
      </c>
      <c r="N45" s="132">
        <f>Table112348[[#This Row],[M (KN.mm)]]/(Table112348[[#This Row],[b (mm)]]*Table112348[[#This Row],[h (mm)]])</f>
        <v>0.57770922964526339</v>
      </c>
      <c r="O45" s="133">
        <f>Table112348[[#This Row],[M (KN.mm)]]/(Table112348[[#This Row],[b (mm)]]*Table112348[[#This Row],[h (mm)]]*Table112348[[#This Row],[L(mm)]])</f>
        <v>4.7353215544693726E-4</v>
      </c>
      <c r="P45" s="133">
        <f>Table112348[[#This Row],[M (KN.mm)]]/(Table112348[[#This Row],[b (mm)]]*Table112348[[#This Row],[d (mm)]]*Table112348[[#This Row],[L(mm)]])</f>
        <v>5.4681689378991566E-4</v>
      </c>
      <c r="Q45" s="133">
        <f>Table112348[[#This Row],[M (KN.mm)]]/(Table112348[[#This Row],[b (mm)]]*Table112348[[#This Row],[h (mm)]]*Table112348[[#This Row],[L(mm)]]*Table112348[[#This Row],[fc (Mpa)]])</f>
        <v>1.4933212092303287E-5</v>
      </c>
      <c r="R45" s="133">
        <f>Table112348[[#This Row],[M (KN.mm)]]/(Table112348[[#This Row],[b (mm)]]*Table112348[[#This Row],[h (mm)]]*Table112348[[#This Row],[L(mm)]]/2)</f>
        <v>9.4706431089387451E-4</v>
      </c>
      <c r="S45" s="133">
        <f>Table112348[[#This Row],[M (KN.mm)]]/(Table112348[[#This Row],[a (mm)]]*Table112348[[#This Row],[b (mm)]]*Table112348[[#This Row],[h (mm)]]*Table112348[[#This Row],[L(mm)]]/2)</f>
        <v>1.5535831871618677E-6</v>
      </c>
      <c r="T45" s="110">
        <f>G45/($AK$5*AH45*0.001*Table112348[[#This Row],[pho (%)]])</f>
        <v>4.4051062996840812E-6</v>
      </c>
      <c r="U45" s="133">
        <f>Table112348[[#This Row],[M (KN.mm)]]/(Table112348[[#This Row],[b (mm)]]*Table112348[[#This Row],[d (mm)]]*Table112348[[#This Row],[pho (%)]])</f>
        <v>1.0589152546407889</v>
      </c>
      <c r="V45" s="110">
        <f>E45*224.8/(2*SQRT(Table112348[[#This Row],[fc (Mpa)]]*145.037)*Table112348[[#This Row],[b (mm)]]*Table112348[[#This Row],[d (mm)]]*(1/25.4)^2)</f>
        <v>1.1701809273248842</v>
      </c>
      <c r="W45" s="110">
        <f>Table112348[[#This Row],[M (KN.mm)]]/$G$50</f>
        <v>0.51724137931034475</v>
      </c>
      <c r="X45" s="110">
        <f t="shared" si="17"/>
        <v>1.1701809273248842</v>
      </c>
      <c r="Y45" s="110">
        <f t="shared" si="13"/>
        <v>609.59999999999991</v>
      </c>
      <c r="Z45" s="110">
        <f t="shared" si="22"/>
        <v>266.7</v>
      </c>
      <c r="AA45" s="110">
        <f t="shared" si="23"/>
        <v>307.97499999999997</v>
      </c>
      <c r="AB45" s="134">
        <f t="shared" ref="AB45:AB50" si="25">9*25.4</f>
        <v>228.6</v>
      </c>
      <c r="AC45" s="7">
        <v>31.71</v>
      </c>
      <c r="AD45" s="110">
        <f>Table112348[[#This Row],[pho (%)]]/100*Table112348[[#This Row],[b (mm)]]*Table112348[[#This Row],[h (mm)]]</f>
        <v>443.53943549999997</v>
      </c>
      <c r="AE45" s="135">
        <v>0.63</v>
      </c>
      <c r="AF45" s="110">
        <v>640.5</v>
      </c>
      <c r="AG45" s="132">
        <f>(1/3-0.21*(MIN(Table112348[[#This Row],[b (mm)]],AA45)/MAX(Table112348[[#This Row],[b (mm)]],AA45))*(MIN(Table112348[[#This Row],[b (mm)]],AA45)^4/(12*MAX(Table112348[[#This Row],[b (mm)]],AA45)^4)))*MAX(Table112348[[#This Row],[b (mm)]],AA45)*MIN(Table112348[[#This Row],[b (mm)]],AA45)^3</f>
        <v>1211866586.3254154</v>
      </c>
      <c r="AH45" s="132">
        <f>Table112348[[#This Row],[b (mm)]]*AA45^3/12</f>
        <v>556469507.66107714</v>
      </c>
      <c r="AI45" s="132">
        <v>1220</v>
      </c>
      <c r="AJ45" s="136"/>
      <c r="AK45" s="136"/>
      <c r="AN45" s="136"/>
      <c r="AO45" s="136"/>
      <c r="AP45" s="136"/>
      <c r="AQ45"/>
      <c r="AR45"/>
    </row>
    <row r="46" spans="1:44" x14ac:dyDescent="0.25">
      <c r="A46" s="224" t="s">
        <v>180</v>
      </c>
      <c r="B46" s="224" t="s">
        <v>62</v>
      </c>
      <c r="C46" s="181">
        <v>45</v>
      </c>
      <c r="D46" s="130">
        <f>Table112348[[#This Row],[a (mm)]]/Table112348[[#This Row],[d (mm)]]</f>
        <v>2.2857142857142856</v>
      </c>
      <c r="E46" s="224">
        <v>80.064000000000007</v>
      </c>
      <c r="F46" s="127">
        <f>Table112348[[#This Row],[d (mm)]]</f>
        <v>266.7</v>
      </c>
      <c r="G46" s="110">
        <f t="shared" si="21"/>
        <v>48807.0144</v>
      </c>
      <c r="H46" s="110">
        <f t="shared" si="18"/>
        <v>3.3302603625611658E-6</v>
      </c>
      <c r="I46" s="132">
        <f>G46/(Table112348[[#This Row],[b (mm)]]*Z46^2)</f>
        <v>3.0016495407140477E-3</v>
      </c>
      <c r="J46" s="110">
        <f t="shared" si="19"/>
        <v>0.64418091336805661</v>
      </c>
      <c r="K46" s="110">
        <f t="shared" si="20"/>
        <v>2.1040343433586239E-6</v>
      </c>
      <c r="L46" s="132">
        <f>E46/(Table112348[[#This Row],[b (mm)]]*Z46)</f>
        <v>1.313221674062396E-3</v>
      </c>
      <c r="M46" s="132">
        <f>Table112348[[#This Row],[M (KN.mm)]]/(Table112348[[#This Row],[b (mm)]]*Table112348[[#This Row],[d (mm)]])</f>
        <v>0.80053993250843647</v>
      </c>
      <c r="N46" s="132">
        <f>Table112348[[#This Row],[M (KN.mm)]]/(Table112348[[#This Row],[b (mm)]]*Table112348[[#This Row],[h (mm)]])</f>
        <v>0.6932510755743162</v>
      </c>
      <c r="O46" s="133">
        <f>Table112348[[#This Row],[M (KN.mm)]]/(Table112348[[#This Row],[b (mm)]]*Table112348[[#This Row],[h (mm)]]*Table112348[[#This Row],[L(mm)]])</f>
        <v>5.6823858653632471E-4</v>
      </c>
      <c r="P46" s="133">
        <f>Table112348[[#This Row],[M (KN.mm)]]/(Table112348[[#This Row],[b (mm)]]*Table112348[[#This Row],[d (mm)]]*Table112348[[#This Row],[L(mm)]])</f>
        <v>6.5618027254789877E-4</v>
      </c>
      <c r="Q46" s="133">
        <f>Table112348[[#This Row],[M (KN.mm)]]/(Table112348[[#This Row],[b (mm)]]*Table112348[[#This Row],[h (mm)]]*Table112348[[#This Row],[L(mm)]]*Table112348[[#This Row],[fc (Mpa)]])</f>
        <v>1.7919854510763945E-5</v>
      </c>
      <c r="R46" s="133">
        <f>Table112348[[#This Row],[M (KN.mm)]]/(Table112348[[#This Row],[b (mm)]]*Table112348[[#This Row],[h (mm)]]*Table112348[[#This Row],[L(mm)]]/2)</f>
        <v>1.1364771730726494E-3</v>
      </c>
      <c r="S46" s="133">
        <f>Table112348[[#This Row],[M (KN.mm)]]/(Table112348[[#This Row],[a (mm)]]*Table112348[[#This Row],[b (mm)]]*Table112348[[#This Row],[h (mm)]]*Table112348[[#This Row],[L(mm)]]/2)</f>
        <v>1.8642998245942413E-6</v>
      </c>
      <c r="T46" s="110">
        <f>G46/($AK$5*AH46*0.001*Table112348[[#This Row],[pho (%)]])</f>
        <v>5.2861275596208978E-6</v>
      </c>
      <c r="U46" s="133">
        <f>Table112348[[#This Row],[M (KN.mm)]]/(Table112348[[#This Row],[b (mm)]]*Table112348[[#This Row],[d (mm)]]*Table112348[[#This Row],[pho (%)]])</f>
        <v>1.2706983055689469</v>
      </c>
      <c r="V46" s="110">
        <f>E46*224.8/(2*SQRT(Table112348[[#This Row],[fc (Mpa)]]*145.037)*Table112348[[#This Row],[b (mm)]]*Table112348[[#This Row],[d (mm)]]*(1/25.4)^2)</f>
        <v>1.4042171127898611</v>
      </c>
      <c r="W46" s="110">
        <f>Table112348[[#This Row],[M (KN.mm)]]/$G$50</f>
        <v>0.62068965517241381</v>
      </c>
      <c r="X46" s="110">
        <f t="shared" si="17"/>
        <v>1.4042171127898611</v>
      </c>
      <c r="Y46" s="110">
        <f t="shared" si="13"/>
        <v>609.59999999999991</v>
      </c>
      <c r="Z46" s="110">
        <f t="shared" si="22"/>
        <v>266.7</v>
      </c>
      <c r="AA46" s="110">
        <f t="shared" si="23"/>
        <v>307.97499999999997</v>
      </c>
      <c r="AB46" s="134">
        <f t="shared" si="25"/>
        <v>228.6</v>
      </c>
      <c r="AC46" s="7">
        <v>31.71</v>
      </c>
      <c r="AD46" s="110">
        <f>Table112348[[#This Row],[pho (%)]]/100*Table112348[[#This Row],[b (mm)]]*Table112348[[#This Row],[h (mm)]]</f>
        <v>443.53943549999997</v>
      </c>
      <c r="AE46" s="135">
        <v>0.63</v>
      </c>
      <c r="AF46" s="110">
        <v>640.5</v>
      </c>
      <c r="AG46" s="132">
        <f>(1/3-0.21*(MIN(Table112348[[#This Row],[b (mm)]],AA46)/MAX(Table112348[[#This Row],[b (mm)]],AA46))*(MIN(Table112348[[#This Row],[b (mm)]],AA46)^4/(12*MAX(Table112348[[#This Row],[b (mm)]],AA46)^4)))*MAX(Table112348[[#This Row],[b (mm)]],AA46)*MIN(Table112348[[#This Row],[b (mm)]],AA46)^3</f>
        <v>1211866586.3254154</v>
      </c>
      <c r="AH46" s="132">
        <f>Table112348[[#This Row],[b (mm)]]*AA46^3/12</f>
        <v>556469507.66107714</v>
      </c>
      <c r="AI46" s="132">
        <v>1220</v>
      </c>
      <c r="AJ46" s="136"/>
      <c r="AK46" s="136"/>
      <c r="AN46" s="136"/>
      <c r="AO46" s="136"/>
      <c r="AP46" s="136"/>
      <c r="AQ46"/>
      <c r="AR46"/>
    </row>
    <row r="47" spans="1:44" x14ac:dyDescent="0.25">
      <c r="A47" s="224" t="s">
        <v>180</v>
      </c>
      <c r="B47" s="224" t="s">
        <v>63</v>
      </c>
      <c r="C47" s="181">
        <v>46</v>
      </c>
      <c r="D47" s="130">
        <f>Table112348[[#This Row],[a (mm)]]/Table112348[[#This Row],[d (mm)]]</f>
        <v>2.2857142857142856</v>
      </c>
      <c r="E47" s="224">
        <v>93.408000000000015</v>
      </c>
      <c r="F47" s="127">
        <f>Table112348[[#This Row],[d (mm)]]</f>
        <v>266.7</v>
      </c>
      <c r="G47" s="110">
        <f t="shared" si="21"/>
        <v>56941.516799999998</v>
      </c>
      <c r="H47" s="110">
        <f t="shared" si="18"/>
        <v>3.8853037563213596E-6</v>
      </c>
      <c r="I47" s="132">
        <f>G47/(Table112348[[#This Row],[b (mm)]]*Z47^2)</f>
        <v>3.5019244641663889E-3</v>
      </c>
      <c r="J47" s="110">
        <f t="shared" si="19"/>
        <v>0.75154439892939928</v>
      </c>
      <c r="K47" s="110">
        <f t="shared" si="20"/>
        <v>2.4547067339183948E-6</v>
      </c>
      <c r="L47" s="132">
        <f>E47/(Table112348[[#This Row],[b (mm)]]*Z47)</f>
        <v>1.5320919530727953E-3</v>
      </c>
      <c r="M47" s="132">
        <f>Table112348[[#This Row],[M (KN.mm)]]/(Table112348[[#This Row],[b (mm)]]*Table112348[[#This Row],[d (mm)]])</f>
        <v>0.93396325459317586</v>
      </c>
      <c r="N47" s="132">
        <f>Table112348[[#This Row],[M (KN.mm)]]/(Table112348[[#This Row],[b (mm)]]*Table112348[[#This Row],[h (mm)]])</f>
        <v>0.80879292150336879</v>
      </c>
      <c r="O47" s="133">
        <f>Table112348[[#This Row],[M (KN.mm)]]/(Table112348[[#This Row],[b (mm)]]*Table112348[[#This Row],[h (mm)]]*Table112348[[#This Row],[L(mm)]])</f>
        <v>6.6294501762571216E-4</v>
      </c>
      <c r="P47" s="133">
        <f>Table112348[[#This Row],[M (KN.mm)]]/(Table112348[[#This Row],[b (mm)]]*Table112348[[#This Row],[d (mm)]]*Table112348[[#This Row],[L(mm)]])</f>
        <v>7.6554365130588188E-4</v>
      </c>
      <c r="Q47" s="133">
        <f>Table112348[[#This Row],[M (KN.mm)]]/(Table112348[[#This Row],[b (mm)]]*Table112348[[#This Row],[h (mm)]]*Table112348[[#This Row],[L(mm)]]*Table112348[[#This Row],[fc (Mpa)]])</f>
        <v>2.0906496929224602E-5</v>
      </c>
      <c r="R47" s="133">
        <f>Table112348[[#This Row],[M (KN.mm)]]/(Table112348[[#This Row],[b (mm)]]*Table112348[[#This Row],[h (mm)]]*Table112348[[#This Row],[L(mm)]]/2)</f>
        <v>1.3258900352514243E-3</v>
      </c>
      <c r="S47" s="133">
        <f>Table112348[[#This Row],[M (KN.mm)]]/(Table112348[[#This Row],[a (mm)]]*Table112348[[#This Row],[b (mm)]]*Table112348[[#This Row],[h (mm)]]*Table112348[[#This Row],[L(mm)]]/2)</f>
        <v>2.1750164620266148E-6</v>
      </c>
      <c r="T47" s="110">
        <f>G47/($AK$5*AH47*0.001*Table112348[[#This Row],[pho (%)]])</f>
        <v>6.1671488195577136E-6</v>
      </c>
      <c r="U47" s="133">
        <f>Table112348[[#This Row],[M (KN.mm)]]/(Table112348[[#This Row],[b (mm)]]*Table112348[[#This Row],[d (mm)]]*Table112348[[#This Row],[pho (%)]])</f>
        <v>1.4824813564971044</v>
      </c>
      <c r="V47" s="110">
        <f>E47*224.8/(2*SQRT(Table112348[[#This Row],[fc (Mpa)]]*145.037)*Table112348[[#This Row],[b (mm)]]*Table112348[[#This Row],[d (mm)]]*(1/25.4)^2)</f>
        <v>1.6382532982548381</v>
      </c>
      <c r="W47" s="110">
        <f>Table112348[[#This Row],[M (KN.mm)]]/$G$50</f>
        <v>0.72413793103448276</v>
      </c>
      <c r="X47" s="110">
        <f t="shared" si="17"/>
        <v>1.6382532982548381</v>
      </c>
      <c r="Y47" s="110">
        <f t="shared" si="13"/>
        <v>609.59999999999991</v>
      </c>
      <c r="Z47" s="110">
        <f t="shared" si="22"/>
        <v>266.7</v>
      </c>
      <c r="AA47" s="110">
        <f t="shared" si="23"/>
        <v>307.97499999999997</v>
      </c>
      <c r="AB47" s="134">
        <f t="shared" si="25"/>
        <v>228.6</v>
      </c>
      <c r="AC47" s="7">
        <v>31.71</v>
      </c>
      <c r="AD47" s="110">
        <f>Table112348[[#This Row],[pho (%)]]/100*Table112348[[#This Row],[b (mm)]]*Table112348[[#This Row],[h (mm)]]</f>
        <v>443.53943549999997</v>
      </c>
      <c r="AE47" s="135">
        <v>0.63</v>
      </c>
      <c r="AF47" s="110">
        <v>640.5</v>
      </c>
      <c r="AG47" s="132">
        <f>(1/3-0.21*(MIN(Table112348[[#This Row],[b (mm)]],AA47)/MAX(Table112348[[#This Row],[b (mm)]],AA47))*(MIN(Table112348[[#This Row],[b (mm)]],AA47)^4/(12*MAX(Table112348[[#This Row],[b (mm)]],AA47)^4)))*MAX(Table112348[[#This Row],[b (mm)]],AA47)*MIN(Table112348[[#This Row],[b (mm)]],AA47)^3</f>
        <v>1211866586.3254154</v>
      </c>
      <c r="AH47" s="132">
        <f>Table112348[[#This Row],[b (mm)]]*AA47^3/12</f>
        <v>556469507.66107714</v>
      </c>
      <c r="AI47" s="132">
        <v>1220</v>
      </c>
      <c r="AJ47" s="136"/>
      <c r="AK47" s="136"/>
      <c r="AN47" s="136"/>
      <c r="AO47" s="136"/>
      <c r="AP47" s="136"/>
      <c r="AQ47"/>
      <c r="AR47"/>
    </row>
    <row r="48" spans="1:44" x14ac:dyDescent="0.25">
      <c r="A48" s="224" t="s">
        <v>180</v>
      </c>
      <c r="B48" s="224" t="s">
        <v>64</v>
      </c>
      <c r="C48" s="181">
        <v>47</v>
      </c>
      <c r="D48" s="130">
        <f>Table112348[[#This Row],[a (mm)]]/Table112348[[#This Row],[d (mm)]]</f>
        <v>2.2857142857142856</v>
      </c>
      <c r="E48" s="224">
        <v>106.75200000000001</v>
      </c>
      <c r="F48" s="127">
        <f>Table112348[[#This Row],[d (mm)]]</f>
        <v>266.7</v>
      </c>
      <c r="G48" s="110">
        <f t="shared" si="21"/>
        <v>65076.019199999995</v>
      </c>
      <c r="H48" s="110">
        <f t="shared" si="18"/>
        <v>4.4403471500815538E-6</v>
      </c>
      <c r="I48" s="132">
        <f>G48/(Table112348[[#This Row],[b (mm)]]*Z48^2)</f>
        <v>4.0021993876187302E-3</v>
      </c>
      <c r="J48" s="110">
        <f t="shared" si="19"/>
        <v>0.85890788449074207</v>
      </c>
      <c r="K48" s="110">
        <f t="shared" si="20"/>
        <v>2.8053791244781653E-6</v>
      </c>
      <c r="L48" s="132">
        <f>E48/(Table112348[[#This Row],[b (mm)]]*Z48)</f>
        <v>1.7509622320831947E-3</v>
      </c>
      <c r="M48" s="132">
        <f>Table112348[[#This Row],[M (KN.mm)]]/(Table112348[[#This Row],[b (mm)]]*Table112348[[#This Row],[d (mm)]])</f>
        <v>1.0673865766779154</v>
      </c>
      <c r="N48" s="132">
        <f>Table112348[[#This Row],[M (KN.mm)]]/(Table112348[[#This Row],[b (mm)]]*Table112348[[#This Row],[h (mm)]])</f>
        <v>0.92433476743242149</v>
      </c>
      <c r="O48" s="133">
        <f>Table112348[[#This Row],[M (KN.mm)]]/(Table112348[[#This Row],[b (mm)]]*Table112348[[#This Row],[h (mm)]]*Table112348[[#This Row],[L(mm)]])</f>
        <v>7.5765144871509961E-4</v>
      </c>
      <c r="P48" s="133">
        <f>Table112348[[#This Row],[M (KN.mm)]]/(Table112348[[#This Row],[b (mm)]]*Table112348[[#This Row],[d (mm)]]*Table112348[[#This Row],[L(mm)]])</f>
        <v>8.7490703006386499E-4</v>
      </c>
      <c r="Q48" s="133">
        <f>Table112348[[#This Row],[M (KN.mm)]]/(Table112348[[#This Row],[b (mm)]]*Table112348[[#This Row],[h (mm)]]*Table112348[[#This Row],[L(mm)]]*Table112348[[#This Row],[fc (Mpa)]])</f>
        <v>2.3893139347685259E-5</v>
      </c>
      <c r="R48" s="133">
        <f>Table112348[[#This Row],[M (KN.mm)]]/(Table112348[[#This Row],[b (mm)]]*Table112348[[#This Row],[h (mm)]]*Table112348[[#This Row],[L(mm)]]/2)</f>
        <v>1.5153028974301992E-3</v>
      </c>
      <c r="S48" s="133">
        <f>Table112348[[#This Row],[M (KN.mm)]]/(Table112348[[#This Row],[a (mm)]]*Table112348[[#This Row],[b (mm)]]*Table112348[[#This Row],[h (mm)]]*Table112348[[#This Row],[L(mm)]]/2)</f>
        <v>2.4857330994589886E-6</v>
      </c>
      <c r="T48" s="110">
        <f>G48/($AK$5*AH48*0.001*Table112348[[#This Row],[pho (%)]])</f>
        <v>7.0481700794945301E-6</v>
      </c>
      <c r="U48" s="133">
        <f>Table112348[[#This Row],[M (KN.mm)]]/(Table112348[[#This Row],[b (mm)]]*Table112348[[#This Row],[d (mm)]]*Table112348[[#This Row],[pho (%)]])</f>
        <v>1.6942644074252622</v>
      </c>
      <c r="V48" s="110">
        <f>E48*224.8/(2*SQRT(Table112348[[#This Row],[fc (Mpa)]]*145.037)*Table112348[[#This Row],[b (mm)]]*Table112348[[#This Row],[d (mm)]]*(1/25.4)^2)</f>
        <v>1.8722894837198152</v>
      </c>
      <c r="W48" s="110">
        <f>Table112348[[#This Row],[M (KN.mm)]]/$G$50</f>
        <v>0.82758620689655171</v>
      </c>
      <c r="X48" s="110">
        <f t="shared" si="17"/>
        <v>1.8722894837198152</v>
      </c>
      <c r="Y48" s="110">
        <f t="shared" si="13"/>
        <v>609.59999999999991</v>
      </c>
      <c r="Z48" s="110">
        <f t="shared" si="22"/>
        <v>266.7</v>
      </c>
      <c r="AA48" s="110">
        <f t="shared" si="23"/>
        <v>307.97499999999997</v>
      </c>
      <c r="AB48" s="134">
        <f t="shared" si="25"/>
        <v>228.6</v>
      </c>
      <c r="AC48" s="7">
        <v>31.71</v>
      </c>
      <c r="AD48" s="110">
        <f>Table112348[[#This Row],[pho (%)]]/100*Table112348[[#This Row],[b (mm)]]*Table112348[[#This Row],[h (mm)]]</f>
        <v>443.53943549999997</v>
      </c>
      <c r="AE48" s="135">
        <v>0.63</v>
      </c>
      <c r="AF48" s="110">
        <v>640.5</v>
      </c>
      <c r="AG48" s="132">
        <f>(1/3-0.21*(MIN(Table112348[[#This Row],[b (mm)]],AA48)/MAX(Table112348[[#This Row],[b (mm)]],AA48))*(MIN(Table112348[[#This Row],[b (mm)]],AA48)^4/(12*MAX(Table112348[[#This Row],[b (mm)]],AA48)^4)))*MAX(Table112348[[#This Row],[b (mm)]],AA48)*MIN(Table112348[[#This Row],[b (mm)]],AA48)^3</f>
        <v>1211866586.3254154</v>
      </c>
      <c r="AH48" s="132">
        <f>Table112348[[#This Row],[b (mm)]]*AA48^3/12</f>
        <v>556469507.66107714</v>
      </c>
      <c r="AI48" s="132">
        <v>1220</v>
      </c>
      <c r="AJ48" s="136"/>
      <c r="AK48" s="136"/>
      <c r="AN48" s="136"/>
      <c r="AO48" s="136"/>
      <c r="AP48" s="136"/>
      <c r="AQ48"/>
      <c r="AR48"/>
    </row>
    <row r="49" spans="1:44" x14ac:dyDescent="0.25">
      <c r="A49" s="224" t="s">
        <v>180</v>
      </c>
      <c r="B49" s="224" t="s">
        <v>65</v>
      </c>
      <c r="C49" s="181">
        <v>48</v>
      </c>
      <c r="D49" s="130">
        <f>Table112348[[#This Row],[a (mm)]]/Table112348[[#This Row],[d (mm)]]</f>
        <v>2.2857142857142856</v>
      </c>
      <c r="E49" s="224">
        <v>120.096</v>
      </c>
      <c r="F49" s="127">
        <f>Table112348[[#This Row],[d (mm)]]</f>
        <v>266.7</v>
      </c>
      <c r="G49" s="110">
        <f t="shared" si="21"/>
        <v>73210.521599999993</v>
      </c>
      <c r="H49" s="110">
        <f t="shared" si="18"/>
        <v>4.9953905438417481E-6</v>
      </c>
      <c r="I49" s="132">
        <f>G49/(Table112348[[#This Row],[b (mm)]]*Z49^2)</f>
        <v>4.502474311071071E-3</v>
      </c>
      <c r="J49" s="110">
        <f t="shared" si="19"/>
        <v>0.96627137005208474</v>
      </c>
      <c r="K49" s="110">
        <f t="shared" si="20"/>
        <v>3.1560515150379358E-6</v>
      </c>
      <c r="L49" s="132">
        <f>E49/(Table112348[[#This Row],[b (mm)]]*Z49)</f>
        <v>1.969832511093594E-3</v>
      </c>
      <c r="M49" s="132">
        <f>Table112348[[#This Row],[M (KN.mm)]]/(Table112348[[#This Row],[b (mm)]]*Table112348[[#This Row],[d (mm)]])</f>
        <v>1.2008098987626545</v>
      </c>
      <c r="N49" s="132">
        <f>Table112348[[#This Row],[M (KN.mm)]]/(Table112348[[#This Row],[b (mm)]]*Table112348[[#This Row],[h (mm)]])</f>
        <v>1.0398766133614741</v>
      </c>
      <c r="O49" s="133">
        <f>Table112348[[#This Row],[M (KN.mm)]]/(Table112348[[#This Row],[b (mm)]]*Table112348[[#This Row],[h (mm)]]*Table112348[[#This Row],[L(mm)]])</f>
        <v>8.5235787980448706E-4</v>
      </c>
      <c r="P49" s="133">
        <f>Table112348[[#This Row],[M (KN.mm)]]/(Table112348[[#This Row],[b (mm)]]*Table112348[[#This Row],[d (mm)]]*Table112348[[#This Row],[L(mm)]])</f>
        <v>9.842704088218481E-4</v>
      </c>
      <c r="Q49" s="133">
        <f>Table112348[[#This Row],[M (KN.mm)]]/(Table112348[[#This Row],[b (mm)]]*Table112348[[#This Row],[h (mm)]]*Table112348[[#This Row],[L(mm)]]*Table112348[[#This Row],[fc (Mpa)]])</f>
        <v>2.6879781766145917E-5</v>
      </c>
      <c r="R49" s="133">
        <f>Table112348[[#This Row],[M (KN.mm)]]/(Table112348[[#This Row],[b (mm)]]*Table112348[[#This Row],[h (mm)]]*Table112348[[#This Row],[L(mm)]]/2)</f>
        <v>1.7047157596089741E-3</v>
      </c>
      <c r="S49" s="133">
        <f>Table112348[[#This Row],[M (KN.mm)]]/(Table112348[[#This Row],[a (mm)]]*Table112348[[#This Row],[b (mm)]]*Table112348[[#This Row],[h (mm)]]*Table112348[[#This Row],[L(mm)]]/2)</f>
        <v>2.796449736891362E-6</v>
      </c>
      <c r="T49" s="110">
        <f>G49/($AK$5*AH49*0.001*Table112348[[#This Row],[pho (%)]])</f>
        <v>7.9291913394313459E-6</v>
      </c>
      <c r="U49" s="133">
        <f>Table112348[[#This Row],[M (KN.mm)]]/(Table112348[[#This Row],[b (mm)]]*Table112348[[#This Row],[d (mm)]]*Table112348[[#This Row],[pho (%)]])</f>
        <v>1.9060474583534199</v>
      </c>
      <c r="V49" s="110">
        <f>E49*224.8/(2*SQRT(Table112348[[#This Row],[fc (Mpa)]]*145.037)*Table112348[[#This Row],[b (mm)]]*Table112348[[#This Row],[d (mm)]]*(1/25.4)^2)</f>
        <v>2.106325669184792</v>
      </c>
      <c r="W49" s="110">
        <f>Table112348[[#This Row],[M (KN.mm)]]/$G$50</f>
        <v>0.93103448275862066</v>
      </c>
      <c r="X49" s="110">
        <f t="shared" si="17"/>
        <v>2.106325669184792</v>
      </c>
      <c r="Y49" s="110">
        <f t="shared" si="13"/>
        <v>609.59999999999991</v>
      </c>
      <c r="Z49" s="110">
        <f t="shared" si="22"/>
        <v>266.7</v>
      </c>
      <c r="AA49" s="110">
        <f t="shared" si="23"/>
        <v>307.97499999999997</v>
      </c>
      <c r="AB49" s="134">
        <f t="shared" si="25"/>
        <v>228.6</v>
      </c>
      <c r="AC49" s="7">
        <v>31.71</v>
      </c>
      <c r="AD49" s="110">
        <f>Table112348[[#This Row],[pho (%)]]/100*Table112348[[#This Row],[b (mm)]]*Table112348[[#This Row],[h (mm)]]</f>
        <v>443.53943549999997</v>
      </c>
      <c r="AE49" s="135">
        <v>0.63</v>
      </c>
      <c r="AF49" s="110">
        <v>640.5</v>
      </c>
      <c r="AG49" s="132">
        <f>(1/3-0.21*(MIN(Table112348[[#This Row],[b (mm)]],AA49)/MAX(Table112348[[#This Row],[b (mm)]],AA49))*(MIN(Table112348[[#This Row],[b (mm)]],AA49)^4/(12*MAX(Table112348[[#This Row],[b (mm)]],AA49)^4)))*MAX(Table112348[[#This Row],[b (mm)]],AA49)*MIN(Table112348[[#This Row],[b (mm)]],AA49)^3</f>
        <v>1211866586.3254154</v>
      </c>
      <c r="AH49" s="132">
        <f>Table112348[[#This Row],[b (mm)]]*AA49^3/12</f>
        <v>556469507.66107714</v>
      </c>
      <c r="AI49" s="132">
        <v>1220</v>
      </c>
      <c r="AJ49" s="136"/>
      <c r="AK49" s="136"/>
      <c r="AN49" s="136"/>
      <c r="AO49" s="136"/>
      <c r="AP49" s="136"/>
      <c r="AQ49"/>
      <c r="AR49"/>
    </row>
    <row r="50" spans="1:44" x14ac:dyDescent="0.25">
      <c r="A50" s="224" t="s">
        <v>180</v>
      </c>
      <c r="B50" s="224" t="s">
        <v>66</v>
      </c>
      <c r="C50" s="181">
        <v>49</v>
      </c>
      <c r="D50" s="130">
        <f>Table112348[[#This Row],[a (mm)]]/Table112348[[#This Row],[d (mm)]]</f>
        <v>2.2857142857142856</v>
      </c>
      <c r="E50" s="224">
        <v>128.99200000000002</v>
      </c>
      <c r="F50" s="127">
        <f>Table112348[[#This Row],[d (mm)]]</f>
        <v>266.7</v>
      </c>
      <c r="G50" s="110">
        <f t="shared" si="21"/>
        <v>78633.523199999996</v>
      </c>
      <c r="H50" s="110">
        <f t="shared" si="18"/>
        <v>5.3654194730152112E-6</v>
      </c>
      <c r="I50" s="132">
        <f>G50/(Table112348[[#This Row],[b (mm)]]*Z50^2)</f>
        <v>4.8359909267059655E-3</v>
      </c>
      <c r="J50" s="110">
        <f t="shared" si="19"/>
        <v>1.03784702709298</v>
      </c>
      <c r="K50" s="110">
        <f t="shared" si="20"/>
        <v>3.38983310874445E-6</v>
      </c>
      <c r="L50" s="132">
        <f>E50/(Table112348[[#This Row],[b (mm)]]*Z50)</f>
        <v>2.1157460304338602E-3</v>
      </c>
      <c r="M50" s="132">
        <f>Table112348[[#This Row],[M (KN.mm)]]/(Table112348[[#This Row],[b (mm)]]*Table112348[[#This Row],[d (mm)]])</f>
        <v>1.289758780152481</v>
      </c>
      <c r="N50" s="132">
        <f>Table112348[[#This Row],[M (KN.mm)]]/(Table112348[[#This Row],[b (mm)]]*Table112348[[#This Row],[h (mm)]])</f>
        <v>1.1169045106475093</v>
      </c>
      <c r="O50" s="133">
        <f>Table112348[[#This Row],[M (KN.mm)]]/(Table112348[[#This Row],[b (mm)]]*Table112348[[#This Row],[h (mm)]]*Table112348[[#This Row],[L(mm)]])</f>
        <v>9.1549550053074543E-4</v>
      </c>
      <c r="P50" s="133">
        <f>Table112348[[#This Row],[M (KN.mm)]]/(Table112348[[#This Row],[b (mm)]]*Table112348[[#This Row],[d (mm)]]*Table112348[[#This Row],[L(mm)]])</f>
        <v>1.0571793279938368E-3</v>
      </c>
      <c r="Q50" s="133">
        <f>Table112348[[#This Row],[M (KN.mm)]]/(Table112348[[#This Row],[b (mm)]]*Table112348[[#This Row],[h (mm)]]*Table112348[[#This Row],[L(mm)]]*Table112348[[#This Row],[fc (Mpa)]])</f>
        <v>2.8870876711786359E-5</v>
      </c>
      <c r="R50" s="133">
        <f>Table112348[[#This Row],[M (KN.mm)]]/(Table112348[[#This Row],[b (mm)]]*Table112348[[#This Row],[h (mm)]]*Table112348[[#This Row],[L(mm)]]/2)</f>
        <v>1.8309910010614909E-3</v>
      </c>
      <c r="S50" s="133">
        <f>Table112348[[#This Row],[M (KN.mm)]]/(Table112348[[#This Row],[a (mm)]]*Table112348[[#This Row],[b (mm)]]*Table112348[[#This Row],[h (mm)]]*Table112348[[#This Row],[L(mm)]]/2)</f>
        <v>3.0035941618462776E-6</v>
      </c>
      <c r="T50" s="110">
        <f>G50/($AK$5*AH50*0.001*Table112348[[#This Row],[pho (%)]])</f>
        <v>8.5165388460558908E-6</v>
      </c>
      <c r="U50" s="133">
        <f>Table112348[[#This Row],[M (KN.mm)]]/(Table112348[[#This Row],[b (mm)]]*Table112348[[#This Row],[d (mm)]]*Table112348[[#This Row],[pho (%)]])</f>
        <v>2.0472361589721921</v>
      </c>
      <c r="V50" s="110">
        <f>E50*224.8/(2*SQRT(Table112348[[#This Row],[fc (Mpa)]]*145.037)*Table112348[[#This Row],[b (mm)]]*Table112348[[#This Row],[d (mm)]]*(1/25.4)^2)</f>
        <v>2.2623497928281098</v>
      </c>
      <c r="W50" s="110">
        <f>Table112348[[#This Row],[M (KN.mm)]]/$G$50</f>
        <v>1</v>
      </c>
      <c r="X50" s="110">
        <f t="shared" si="17"/>
        <v>2.2623497928281098</v>
      </c>
      <c r="Y50" s="110">
        <f t="shared" si="13"/>
        <v>609.59999999999991</v>
      </c>
      <c r="Z50" s="110">
        <f t="shared" si="22"/>
        <v>266.7</v>
      </c>
      <c r="AA50" s="110">
        <f t="shared" si="23"/>
        <v>307.97499999999997</v>
      </c>
      <c r="AB50" s="134">
        <f t="shared" si="25"/>
        <v>228.6</v>
      </c>
      <c r="AC50" s="7">
        <v>31.71</v>
      </c>
      <c r="AD50" s="110">
        <f>Table112348[[#This Row],[pho (%)]]/100*Table112348[[#This Row],[b (mm)]]*Table112348[[#This Row],[h (mm)]]</f>
        <v>443.53943549999997</v>
      </c>
      <c r="AE50" s="135">
        <v>0.63</v>
      </c>
      <c r="AF50" s="110">
        <v>640.5</v>
      </c>
      <c r="AG50" s="132">
        <f>(1/3-0.21*(MIN(Table112348[[#This Row],[b (mm)]],AA50)/MAX(Table112348[[#This Row],[b (mm)]],AA50))*(MIN(Table112348[[#This Row],[b (mm)]],AA50)^4/(12*MAX(Table112348[[#This Row],[b (mm)]],AA50)^4)))*MAX(Table112348[[#This Row],[b (mm)]],AA50)*MIN(Table112348[[#This Row],[b (mm)]],AA50)^3</f>
        <v>1211866586.3254154</v>
      </c>
      <c r="AH50" s="132">
        <f>Table112348[[#This Row],[b (mm)]]*AA50^3/12</f>
        <v>556469507.66107714</v>
      </c>
      <c r="AI50" s="132">
        <v>1220</v>
      </c>
      <c r="AJ50" s="136"/>
      <c r="AK50" s="136"/>
      <c r="AN50" s="136"/>
      <c r="AO50" s="136"/>
      <c r="AP50" s="136"/>
      <c r="AQ50"/>
      <c r="AR50"/>
    </row>
    <row r="51" spans="1:44" x14ac:dyDescent="0.25">
      <c r="A51" s="184" t="s">
        <v>181</v>
      </c>
      <c r="B51" s="184" t="s">
        <v>60</v>
      </c>
      <c r="C51" s="183">
        <v>50</v>
      </c>
      <c r="D51" s="130">
        <f>Table112348[[#This Row],[a (mm)]]/Table112348[[#This Row],[d (mm)]]</f>
        <v>2.8571428571428572</v>
      </c>
      <c r="E51" s="184">
        <v>133.44</v>
      </c>
      <c r="F51" s="127">
        <f>Table112348[[#This Row],[d (mm)]]</f>
        <v>666.75</v>
      </c>
      <c r="G51" s="110">
        <f t="shared" ref="G51:G60" si="26">E51*Y51</f>
        <v>254203.19999999998</v>
      </c>
      <c r="H51" s="110">
        <f t="shared" ref="H51:H60" si="27">G51/($AK$5*AH51*0.001)</f>
        <v>4.5531846602617742E-7</v>
      </c>
      <c r="I51" s="132">
        <f>G51/(Table112348[[#This Row],[b (mm)]]*Z51^2)</f>
        <v>1.0005498469046823E-3</v>
      </c>
      <c r="J51" s="110">
        <f t="shared" ref="J51:J60" si="28">G51/(AD51*AF51*Z51*0.001)</f>
        <v>0.17267634042710084</v>
      </c>
      <c r="K51" s="110">
        <f t="shared" ref="K51:K60" si="29">E51/($AK$4*AG51*0.001)</f>
        <v>9.0572515007192793E-8</v>
      </c>
      <c r="L51" s="132">
        <f>E51/(Table112348[[#This Row],[b (mm)]]*Z51)</f>
        <v>3.5019244641663888E-4</v>
      </c>
      <c r="M51" s="132">
        <f>Table112348[[#This Row],[M (KN.mm)]]/(Table112348[[#This Row],[b (mm)]]*Table112348[[#This Row],[d (mm)]])</f>
        <v>0.66711661042369697</v>
      </c>
      <c r="N51" s="132">
        <f>Table112348[[#This Row],[M (KN.mm)]]/(Table112348[[#This Row],[b (mm)]]*Table112348[[#This Row],[h (mm)]])</f>
        <v>0.58256191030013471</v>
      </c>
      <c r="O51" s="133">
        <f>Table112348[[#This Row],[M (KN.mm)]]/(Table112348[[#This Row],[b (mm)]]*Table112348[[#This Row],[h (mm)]]*Table112348[[#This Row],[L(mm)]])</f>
        <v>1.5290338853021906E-4</v>
      </c>
      <c r="P51" s="133">
        <f>Table112348[[#This Row],[M (KN.mm)]]/(Table112348[[#This Row],[b (mm)]]*Table112348[[#This Row],[d (mm)]]*Table112348[[#This Row],[L(mm)]])</f>
        <v>1.7509622320831941E-4</v>
      </c>
      <c r="Q51" s="133">
        <f>Table112348[[#This Row],[M (KN.mm)]]/(Table112348[[#This Row],[b (mm)]]*Table112348[[#This Row],[h (mm)]]*Table112348[[#This Row],[L(mm)]]*Table112348[[#This Row],[fc (Mpa)]])</f>
        <v>5.1569439639196991E-6</v>
      </c>
      <c r="R51" s="133">
        <f>Table112348[[#This Row],[M (KN.mm)]]/(Table112348[[#This Row],[b (mm)]]*Table112348[[#This Row],[h (mm)]]*Table112348[[#This Row],[L(mm)]]/2)</f>
        <v>3.0580677706043812E-4</v>
      </c>
      <c r="S51" s="133">
        <f>Table112348[[#This Row],[M (KN.mm)]]/(Table112348[[#This Row],[a (mm)]]*Table112348[[#This Row],[b (mm)]]*Table112348[[#This Row],[h (mm)]]*Table112348[[#This Row],[L(mm)]]/2)</f>
        <v>1.605284918952431E-7</v>
      </c>
      <c r="T51" s="110">
        <f>G51/($AK$5*AH51*0.001*Table112348[[#This Row],[pho (%)]])</f>
        <v>5.7635248864073089E-7</v>
      </c>
      <c r="U51" s="133">
        <f>Table112348[[#This Row],[M (KN.mm)]]/(Table112348[[#This Row],[b (mm)]]*Table112348[[#This Row],[d (mm)]]*Table112348[[#This Row],[pho (%)]])</f>
        <v>0.8444514055996164</v>
      </c>
      <c r="V51" s="110">
        <f>E51*224.8/(2*SQRT(Table112348[[#This Row],[fc (Mpa)]]*145.037)*Table112348[[#This Row],[b (mm)]]*Table112348[[#This Row],[d (mm)]]*(1/25.4)^2)</f>
        <v>0.38724762757575115</v>
      </c>
      <c r="W51" s="110">
        <f>Table112348[[#This Row],[M (KN.mm)]]/$G$60</f>
        <v>0.23076923076923075</v>
      </c>
      <c r="X51" s="110">
        <f t="shared" si="17"/>
        <v>0.38724762757575115</v>
      </c>
      <c r="Y51" s="110">
        <f>75*25.4</f>
        <v>1905</v>
      </c>
      <c r="Z51" s="110">
        <f>26.25*25.4</f>
        <v>666.75</v>
      </c>
      <c r="AA51" s="110">
        <f>30.06*25.4</f>
        <v>763.52399999999989</v>
      </c>
      <c r="AB51" s="134">
        <f>22.5*25.4</f>
        <v>571.5</v>
      </c>
      <c r="AC51" s="7">
        <v>29.65</v>
      </c>
      <c r="AD51" s="110">
        <f>Table112348[[#This Row],[pho (%)]]/100*Table112348[[#This Row],[b (mm)]]*Table112348[[#This Row],[h (mm)]]</f>
        <v>3447.1963313999995</v>
      </c>
      <c r="AE51" s="135">
        <v>0.79</v>
      </c>
      <c r="AF51" s="110">
        <v>640.5</v>
      </c>
      <c r="AG51" s="132">
        <f>(1/3-0.21*(MIN(Table112348[[#This Row],[b (mm)]],AA51)/MAX(Table112348[[#This Row],[b (mm)]],AA51))*(MIN(Table112348[[#This Row],[b (mm)]],AA51)^4/(12*MAX(Table112348[[#This Row],[b (mm)]],AA51)^4)))*MAX(Table112348[[#This Row],[b (mm)]],AA51)*MIN(Table112348[[#This Row],[b (mm)]],AA51)^3</f>
        <v>46920211151.527954</v>
      </c>
      <c r="AH51" s="132">
        <f>Table112348[[#This Row],[b (mm)]]*AA51^3/12</f>
        <v>21198399245.690769</v>
      </c>
      <c r="AI51" s="132">
        <f>1905*2</f>
        <v>3810</v>
      </c>
      <c r="AJ51" s="136"/>
      <c r="AK51" s="136"/>
      <c r="AN51" s="136"/>
      <c r="AO51" s="136"/>
      <c r="AP51" s="136"/>
      <c r="AQ51"/>
      <c r="AR51"/>
    </row>
    <row r="52" spans="1:44" x14ac:dyDescent="0.25">
      <c r="A52" s="184" t="s">
        <v>181</v>
      </c>
      <c r="B52" s="184" t="s">
        <v>61</v>
      </c>
      <c r="C52" s="183">
        <v>51</v>
      </c>
      <c r="D52" s="130">
        <f>Table112348[[#This Row],[a (mm)]]/Table112348[[#This Row],[d (mm)]]</f>
        <v>2.8571428571428572</v>
      </c>
      <c r="E52" s="184">
        <v>177.92000000000002</v>
      </c>
      <c r="F52" s="127">
        <f>Table112348[[#This Row],[d (mm)]]</f>
        <v>666.75</v>
      </c>
      <c r="G52" s="110">
        <f t="shared" si="26"/>
        <v>338937.60000000003</v>
      </c>
      <c r="H52" s="110">
        <f t="shared" si="27"/>
        <v>6.070912880349033E-7</v>
      </c>
      <c r="I52" s="132">
        <f>G52/(Table112348[[#This Row],[b (mm)]]*Z52^2)</f>
        <v>1.3340664625395768E-3</v>
      </c>
      <c r="J52" s="110">
        <f t="shared" si="28"/>
        <v>0.23023512056946782</v>
      </c>
      <c r="K52" s="110">
        <f t="shared" si="29"/>
        <v>1.2076335334292374E-7</v>
      </c>
      <c r="L52" s="132">
        <f>E52/(Table112348[[#This Row],[b (mm)]]*Z52)</f>
        <v>4.6692326188885186E-4</v>
      </c>
      <c r="M52" s="132">
        <f>Table112348[[#This Row],[M (KN.mm)]]/(Table112348[[#This Row],[b (mm)]]*Table112348[[#This Row],[d (mm)]])</f>
        <v>0.88948881389826284</v>
      </c>
      <c r="N52" s="132">
        <f>Table112348[[#This Row],[M (KN.mm)]]/(Table112348[[#This Row],[b (mm)]]*Table112348[[#This Row],[h (mm)]])</f>
        <v>0.77674921373351302</v>
      </c>
      <c r="O52" s="133">
        <f>Table112348[[#This Row],[M (KN.mm)]]/(Table112348[[#This Row],[b (mm)]]*Table112348[[#This Row],[h (mm)]]*Table112348[[#This Row],[L(mm)]])</f>
        <v>2.0387118470695879E-4</v>
      </c>
      <c r="P52" s="133">
        <f>Table112348[[#This Row],[M (KN.mm)]]/(Table112348[[#This Row],[b (mm)]]*Table112348[[#This Row],[d (mm)]]*Table112348[[#This Row],[L(mm)]])</f>
        <v>2.3346163094442593E-4</v>
      </c>
      <c r="Q52" s="133">
        <f>Table112348[[#This Row],[M (KN.mm)]]/(Table112348[[#This Row],[b (mm)]]*Table112348[[#This Row],[h (mm)]]*Table112348[[#This Row],[L(mm)]]*Table112348[[#This Row],[fc (Mpa)]])</f>
        <v>6.8759252852262669E-6</v>
      </c>
      <c r="R52" s="133">
        <f>Table112348[[#This Row],[M (KN.mm)]]/(Table112348[[#This Row],[b (mm)]]*Table112348[[#This Row],[h (mm)]]*Table112348[[#This Row],[L(mm)]]/2)</f>
        <v>4.0774236941391759E-4</v>
      </c>
      <c r="S52" s="133">
        <f>Table112348[[#This Row],[M (KN.mm)]]/(Table112348[[#This Row],[a (mm)]]*Table112348[[#This Row],[b (mm)]]*Table112348[[#This Row],[h (mm)]]*Table112348[[#This Row],[L(mm)]]/2)</f>
        <v>2.1403798919365753E-7</v>
      </c>
      <c r="T52" s="110">
        <f>G52/($AK$5*AH52*0.001*Table112348[[#This Row],[pho (%)]])</f>
        <v>7.68469984854308E-7</v>
      </c>
      <c r="U52" s="133">
        <f>Table112348[[#This Row],[M (KN.mm)]]/(Table112348[[#This Row],[b (mm)]]*Table112348[[#This Row],[d (mm)]]*Table112348[[#This Row],[pho (%)]])</f>
        <v>1.1259352074661553</v>
      </c>
      <c r="V52" s="110">
        <f>E52*224.8/(2*SQRT(Table112348[[#This Row],[fc (Mpa)]]*145.037)*Table112348[[#This Row],[b (mm)]]*Table112348[[#This Row],[d (mm)]]*(1/25.4)^2)</f>
        <v>0.51633017010100157</v>
      </c>
      <c r="W52" s="110">
        <f>Table112348[[#This Row],[M (KN.mm)]]/$G$60</f>
        <v>0.30769230769230771</v>
      </c>
      <c r="X52" s="110">
        <f t="shared" si="17"/>
        <v>0.51633017010100157</v>
      </c>
      <c r="Y52" s="110">
        <f t="shared" ref="Y52:Y70" si="30">75*25.4</f>
        <v>1905</v>
      </c>
      <c r="Z52" s="110">
        <f t="shared" ref="Z52:Z70" si="31">26.25*25.4</f>
        <v>666.75</v>
      </c>
      <c r="AA52" s="110">
        <f t="shared" ref="AA52:AA70" si="32">30.06*25.4</f>
        <v>763.52399999999989</v>
      </c>
      <c r="AB52" s="134">
        <f t="shared" ref="AB52:AB70" si="33">22.5*25.4</f>
        <v>571.5</v>
      </c>
      <c r="AC52" s="7">
        <v>29.65</v>
      </c>
      <c r="AD52" s="110">
        <f>Table112348[[#This Row],[pho (%)]]/100*Table112348[[#This Row],[b (mm)]]*Table112348[[#This Row],[h (mm)]]</f>
        <v>3447.1963313999995</v>
      </c>
      <c r="AE52" s="135">
        <v>0.79</v>
      </c>
      <c r="AF52" s="110">
        <v>640.5</v>
      </c>
      <c r="AG52" s="132">
        <f>(1/3-0.21*(MIN(Table112348[[#This Row],[b (mm)]],AA52)/MAX(Table112348[[#This Row],[b (mm)]],AA52))*(MIN(Table112348[[#This Row],[b (mm)]],AA52)^4/(12*MAX(Table112348[[#This Row],[b (mm)]],AA52)^4)))*MAX(Table112348[[#This Row],[b (mm)]],AA52)*MIN(Table112348[[#This Row],[b (mm)]],AA52)^3</f>
        <v>46920211151.527954</v>
      </c>
      <c r="AH52" s="132">
        <f>Table112348[[#This Row],[b (mm)]]*AA52^3/12</f>
        <v>21198399245.690769</v>
      </c>
      <c r="AI52" s="132">
        <f t="shared" ref="AI52:AI70" si="34">1905*2</f>
        <v>3810</v>
      </c>
      <c r="AJ52" s="136"/>
      <c r="AK52" s="136"/>
      <c r="AN52" s="136"/>
      <c r="AO52" s="136"/>
      <c r="AP52" s="136"/>
      <c r="AQ52"/>
      <c r="AR52"/>
    </row>
    <row r="53" spans="1:44" x14ac:dyDescent="0.25">
      <c r="A53" s="184" t="s">
        <v>181</v>
      </c>
      <c r="B53" s="184" t="s">
        <v>62</v>
      </c>
      <c r="C53" s="183">
        <v>52</v>
      </c>
      <c r="D53" s="130">
        <f>Table112348[[#This Row],[a (mm)]]/Table112348[[#This Row],[d (mm)]]</f>
        <v>2.8571428571428572</v>
      </c>
      <c r="E53" s="184">
        <v>222.40000000000003</v>
      </c>
      <c r="F53" s="127">
        <f>Table112348[[#This Row],[d (mm)]]</f>
        <v>666.75</v>
      </c>
      <c r="G53" s="110">
        <f t="shared" si="26"/>
        <v>423672.00000000006</v>
      </c>
      <c r="H53" s="110">
        <f t="shared" si="27"/>
        <v>7.5886411004362917E-7</v>
      </c>
      <c r="I53" s="132">
        <f>G53/(Table112348[[#This Row],[b (mm)]]*Z53^2)</f>
        <v>1.6675830781744711E-3</v>
      </c>
      <c r="J53" s="110">
        <f t="shared" si="28"/>
        <v>0.2877939007118348</v>
      </c>
      <c r="K53" s="110">
        <f t="shared" si="29"/>
        <v>1.5095419167865468E-7</v>
      </c>
      <c r="L53" s="132">
        <f>E53/(Table112348[[#This Row],[b (mm)]]*Z53)</f>
        <v>5.8365407736106489E-4</v>
      </c>
      <c r="M53" s="132">
        <f>Table112348[[#This Row],[M (KN.mm)]]/(Table112348[[#This Row],[b (mm)]]*Table112348[[#This Row],[d (mm)]])</f>
        <v>1.1118610173728285</v>
      </c>
      <c r="N53" s="132">
        <f>Table112348[[#This Row],[M (KN.mm)]]/(Table112348[[#This Row],[b (mm)]]*Table112348[[#This Row],[h (mm)]])</f>
        <v>0.97093651716689133</v>
      </c>
      <c r="O53" s="133">
        <f>Table112348[[#This Row],[M (KN.mm)]]/(Table112348[[#This Row],[b (mm)]]*Table112348[[#This Row],[h (mm)]]*Table112348[[#This Row],[L(mm)]])</f>
        <v>2.548389808836985E-4</v>
      </c>
      <c r="P53" s="133">
        <f>Table112348[[#This Row],[M (KN.mm)]]/(Table112348[[#This Row],[b (mm)]]*Table112348[[#This Row],[d (mm)]]*Table112348[[#This Row],[L(mm)]])</f>
        <v>2.9182703868053245E-4</v>
      </c>
      <c r="Q53" s="133">
        <f>Table112348[[#This Row],[M (KN.mm)]]/(Table112348[[#This Row],[b (mm)]]*Table112348[[#This Row],[h (mm)]]*Table112348[[#This Row],[L(mm)]]*Table112348[[#This Row],[fc (Mpa)]])</f>
        <v>8.5949066065328338E-6</v>
      </c>
      <c r="R53" s="133">
        <f>Table112348[[#This Row],[M (KN.mm)]]/(Table112348[[#This Row],[b (mm)]]*Table112348[[#This Row],[h (mm)]]*Table112348[[#This Row],[L(mm)]]/2)</f>
        <v>5.09677961767397E-4</v>
      </c>
      <c r="S53" s="133">
        <f>Table112348[[#This Row],[M (KN.mm)]]/(Table112348[[#This Row],[a (mm)]]*Table112348[[#This Row],[b (mm)]]*Table112348[[#This Row],[h (mm)]]*Table112348[[#This Row],[L(mm)]]/2)</f>
        <v>2.675474864920719E-7</v>
      </c>
      <c r="T53" s="110">
        <f>G53/($AK$5*AH53*0.001*Table112348[[#This Row],[pho (%)]])</f>
        <v>9.60587481067885E-7</v>
      </c>
      <c r="U53" s="133">
        <f>Table112348[[#This Row],[M (KN.mm)]]/(Table112348[[#This Row],[b (mm)]]*Table112348[[#This Row],[d (mm)]]*Table112348[[#This Row],[pho (%)]])</f>
        <v>1.4074190093326941</v>
      </c>
      <c r="V53" s="110">
        <f>E53*224.8/(2*SQRT(Table112348[[#This Row],[fc (Mpa)]]*145.037)*Table112348[[#This Row],[b (mm)]]*Table112348[[#This Row],[d (mm)]]*(1/25.4)^2)</f>
        <v>0.64541271262625211</v>
      </c>
      <c r="W53" s="110">
        <f>Table112348[[#This Row],[M (KN.mm)]]/$G$60</f>
        <v>0.38461538461538469</v>
      </c>
      <c r="X53" s="110">
        <f t="shared" si="17"/>
        <v>0.64541271262625211</v>
      </c>
      <c r="Y53" s="110">
        <f t="shared" si="30"/>
        <v>1905</v>
      </c>
      <c r="Z53" s="110">
        <f t="shared" si="31"/>
        <v>666.75</v>
      </c>
      <c r="AA53" s="110">
        <f t="shared" si="32"/>
        <v>763.52399999999989</v>
      </c>
      <c r="AB53" s="134">
        <f t="shared" si="33"/>
        <v>571.5</v>
      </c>
      <c r="AC53" s="7">
        <v>29.65</v>
      </c>
      <c r="AD53" s="110">
        <f>Table112348[[#This Row],[pho (%)]]/100*Table112348[[#This Row],[b (mm)]]*Table112348[[#This Row],[h (mm)]]</f>
        <v>3447.1963313999995</v>
      </c>
      <c r="AE53" s="135">
        <v>0.79</v>
      </c>
      <c r="AF53" s="110">
        <v>640.5</v>
      </c>
      <c r="AG53" s="132">
        <f>(1/3-0.21*(MIN(Table112348[[#This Row],[b (mm)]],AA53)/MAX(Table112348[[#This Row],[b (mm)]],AA53))*(MIN(Table112348[[#This Row],[b (mm)]],AA53)^4/(12*MAX(Table112348[[#This Row],[b (mm)]],AA53)^4)))*MAX(Table112348[[#This Row],[b (mm)]],AA53)*MIN(Table112348[[#This Row],[b (mm)]],AA53)^3</f>
        <v>46920211151.527954</v>
      </c>
      <c r="AH53" s="132">
        <f>Table112348[[#This Row],[b (mm)]]*AA53^3/12</f>
        <v>21198399245.690769</v>
      </c>
      <c r="AI53" s="132">
        <f t="shared" si="34"/>
        <v>3810</v>
      </c>
      <c r="AJ53" s="136"/>
      <c r="AK53" s="136"/>
      <c r="AN53" s="136"/>
      <c r="AO53" s="136"/>
      <c r="AP53" s="136"/>
      <c r="AQ53"/>
      <c r="AR53"/>
    </row>
    <row r="54" spans="1:44" x14ac:dyDescent="0.25">
      <c r="A54" s="184" t="s">
        <v>181</v>
      </c>
      <c r="B54" s="184" t="s">
        <v>63</v>
      </c>
      <c r="C54" s="183">
        <v>53</v>
      </c>
      <c r="D54" s="130">
        <f>Table112348[[#This Row],[a (mm)]]/Table112348[[#This Row],[d (mm)]]</f>
        <v>2.8571428571428572</v>
      </c>
      <c r="E54" s="184">
        <v>266.88</v>
      </c>
      <c r="F54" s="127">
        <f>Table112348[[#This Row],[d (mm)]]</f>
        <v>666.75</v>
      </c>
      <c r="G54" s="110">
        <f t="shared" si="26"/>
        <v>508406.39999999997</v>
      </c>
      <c r="H54" s="110">
        <f t="shared" si="27"/>
        <v>9.1063693205235484E-7</v>
      </c>
      <c r="I54" s="132">
        <f>G54/(Table112348[[#This Row],[b (mm)]]*Z54^2)</f>
        <v>2.0010996938093647E-3</v>
      </c>
      <c r="J54" s="110">
        <f t="shared" si="28"/>
        <v>0.34535268085420168</v>
      </c>
      <c r="K54" s="110">
        <f t="shared" si="29"/>
        <v>1.8114503001438559E-7</v>
      </c>
      <c r="L54" s="132">
        <f>E54/(Table112348[[#This Row],[b (mm)]]*Z54)</f>
        <v>7.0038489283327776E-4</v>
      </c>
      <c r="M54" s="132">
        <f>Table112348[[#This Row],[M (KN.mm)]]/(Table112348[[#This Row],[b (mm)]]*Table112348[[#This Row],[d (mm)]])</f>
        <v>1.3342332208473939</v>
      </c>
      <c r="N54" s="132">
        <f>Table112348[[#This Row],[M (KN.mm)]]/(Table112348[[#This Row],[b (mm)]]*Table112348[[#This Row],[h (mm)]])</f>
        <v>1.1651238206002694</v>
      </c>
      <c r="O54" s="133">
        <f>Table112348[[#This Row],[M (KN.mm)]]/(Table112348[[#This Row],[b (mm)]]*Table112348[[#This Row],[h (mm)]]*Table112348[[#This Row],[L(mm)]])</f>
        <v>3.0580677706043812E-4</v>
      </c>
      <c r="P54" s="133">
        <f>Table112348[[#This Row],[M (KN.mm)]]/(Table112348[[#This Row],[b (mm)]]*Table112348[[#This Row],[d (mm)]]*Table112348[[#This Row],[L(mm)]])</f>
        <v>3.5019244641663883E-4</v>
      </c>
      <c r="Q54" s="133">
        <f>Table112348[[#This Row],[M (KN.mm)]]/(Table112348[[#This Row],[b (mm)]]*Table112348[[#This Row],[h (mm)]]*Table112348[[#This Row],[L(mm)]]*Table112348[[#This Row],[fc (Mpa)]])</f>
        <v>1.0313887927839398E-5</v>
      </c>
      <c r="R54" s="133">
        <f>Table112348[[#This Row],[M (KN.mm)]]/(Table112348[[#This Row],[b (mm)]]*Table112348[[#This Row],[h (mm)]]*Table112348[[#This Row],[L(mm)]]/2)</f>
        <v>6.1161355412087625E-4</v>
      </c>
      <c r="S54" s="133">
        <f>Table112348[[#This Row],[M (KN.mm)]]/(Table112348[[#This Row],[a (mm)]]*Table112348[[#This Row],[b (mm)]]*Table112348[[#This Row],[h (mm)]]*Table112348[[#This Row],[L(mm)]]/2)</f>
        <v>3.210569837904862E-7</v>
      </c>
      <c r="T54" s="110">
        <f>G54/($AK$5*AH54*0.001*Table112348[[#This Row],[pho (%)]])</f>
        <v>1.1527049772814618E-6</v>
      </c>
      <c r="U54" s="133">
        <f>Table112348[[#This Row],[M (KN.mm)]]/(Table112348[[#This Row],[b (mm)]]*Table112348[[#This Row],[d (mm)]]*Table112348[[#This Row],[pho (%)]])</f>
        <v>1.6889028111992328</v>
      </c>
      <c r="V54" s="110">
        <f>E54*224.8/(2*SQRT(Table112348[[#This Row],[fc (Mpa)]]*145.037)*Table112348[[#This Row],[b (mm)]]*Table112348[[#This Row],[d (mm)]]*(1/25.4)^2)</f>
        <v>0.7744952551515023</v>
      </c>
      <c r="W54" s="110">
        <f>Table112348[[#This Row],[M (KN.mm)]]/$G$60</f>
        <v>0.46153846153846151</v>
      </c>
      <c r="X54" s="110">
        <f t="shared" si="17"/>
        <v>0.7744952551515023</v>
      </c>
      <c r="Y54" s="110">
        <f t="shared" si="30"/>
        <v>1905</v>
      </c>
      <c r="Z54" s="110">
        <f t="shared" si="31"/>
        <v>666.75</v>
      </c>
      <c r="AA54" s="110">
        <f t="shared" si="32"/>
        <v>763.52399999999989</v>
      </c>
      <c r="AB54" s="134">
        <f t="shared" si="33"/>
        <v>571.5</v>
      </c>
      <c r="AC54" s="7">
        <v>29.65</v>
      </c>
      <c r="AD54" s="110">
        <f>Table112348[[#This Row],[pho (%)]]/100*Table112348[[#This Row],[b (mm)]]*Table112348[[#This Row],[h (mm)]]</f>
        <v>3447.1963313999995</v>
      </c>
      <c r="AE54" s="135">
        <v>0.79</v>
      </c>
      <c r="AF54" s="110">
        <v>640.5</v>
      </c>
      <c r="AG54" s="132">
        <f>(1/3-0.21*(MIN(Table112348[[#This Row],[b (mm)]],AA54)/MAX(Table112348[[#This Row],[b (mm)]],AA54))*(MIN(Table112348[[#This Row],[b (mm)]],AA54)^4/(12*MAX(Table112348[[#This Row],[b (mm)]],AA54)^4)))*MAX(Table112348[[#This Row],[b (mm)]],AA54)*MIN(Table112348[[#This Row],[b (mm)]],AA54)^3</f>
        <v>46920211151.527954</v>
      </c>
      <c r="AH54" s="132">
        <f>Table112348[[#This Row],[b (mm)]]*AA54^3/12</f>
        <v>21198399245.690769</v>
      </c>
      <c r="AI54" s="132">
        <f t="shared" si="34"/>
        <v>3810</v>
      </c>
      <c r="AJ54" s="106"/>
      <c r="AK54" s="107"/>
      <c r="AN54" s="105"/>
      <c r="AO54" s="105"/>
      <c r="AP54" s="105"/>
    </row>
    <row r="55" spans="1:44" x14ac:dyDescent="0.25">
      <c r="A55" s="184" t="s">
        <v>181</v>
      </c>
      <c r="B55" s="184" t="s">
        <v>64</v>
      </c>
      <c r="C55" s="183">
        <v>54</v>
      </c>
      <c r="D55" s="130">
        <f>Table112348[[#This Row],[a (mm)]]/Table112348[[#This Row],[d (mm)]]</f>
        <v>2.8571428571428572</v>
      </c>
      <c r="E55" s="184">
        <v>311.36</v>
      </c>
      <c r="F55" s="127">
        <f>Table112348[[#This Row],[d (mm)]]</f>
        <v>666.75</v>
      </c>
      <c r="G55" s="110">
        <f t="shared" si="26"/>
        <v>593140.80000000005</v>
      </c>
      <c r="H55" s="110">
        <f t="shared" si="27"/>
        <v>1.0624097540610808E-6</v>
      </c>
      <c r="I55" s="132">
        <f>G55/(Table112348[[#This Row],[b (mm)]]*Z55^2)</f>
        <v>2.3346163094442591E-3</v>
      </c>
      <c r="J55" s="110">
        <f t="shared" si="28"/>
        <v>0.40291146099656872</v>
      </c>
      <c r="K55" s="110">
        <f t="shared" si="29"/>
        <v>2.1133586835011652E-7</v>
      </c>
      <c r="L55" s="132">
        <f>E55/(Table112348[[#This Row],[b (mm)]]*Z55)</f>
        <v>8.1711570830549074E-4</v>
      </c>
      <c r="M55" s="132">
        <f>Table112348[[#This Row],[M (KN.mm)]]/(Table112348[[#This Row],[b (mm)]]*Table112348[[#This Row],[d (mm)]])</f>
        <v>1.5566054243219598</v>
      </c>
      <c r="N55" s="132">
        <f>Table112348[[#This Row],[M (KN.mm)]]/(Table112348[[#This Row],[b (mm)]]*Table112348[[#This Row],[h (mm)]])</f>
        <v>1.3593111240336477</v>
      </c>
      <c r="O55" s="133">
        <f>Table112348[[#This Row],[M (KN.mm)]]/(Table112348[[#This Row],[b (mm)]]*Table112348[[#This Row],[h (mm)]]*Table112348[[#This Row],[L(mm)]])</f>
        <v>3.5677457323717791E-4</v>
      </c>
      <c r="P55" s="133">
        <f>Table112348[[#This Row],[M (KN.mm)]]/(Table112348[[#This Row],[b (mm)]]*Table112348[[#This Row],[d (mm)]]*Table112348[[#This Row],[L(mm)]])</f>
        <v>4.0855785415274537E-4</v>
      </c>
      <c r="Q55" s="133">
        <f>Table112348[[#This Row],[M (KN.mm)]]/(Table112348[[#This Row],[b (mm)]]*Table112348[[#This Row],[h (mm)]]*Table112348[[#This Row],[L(mm)]]*Table112348[[#This Row],[fc (Mpa)]])</f>
        <v>1.2032869249145966E-5</v>
      </c>
      <c r="R55" s="133">
        <f>Table112348[[#This Row],[M (KN.mm)]]/(Table112348[[#This Row],[b (mm)]]*Table112348[[#This Row],[h (mm)]]*Table112348[[#This Row],[L(mm)]]/2)</f>
        <v>7.1354914647435582E-4</v>
      </c>
      <c r="S55" s="133">
        <f>Table112348[[#This Row],[M (KN.mm)]]/(Table112348[[#This Row],[a (mm)]]*Table112348[[#This Row],[b (mm)]]*Table112348[[#This Row],[h (mm)]]*Table112348[[#This Row],[L(mm)]]/2)</f>
        <v>3.7456648108890065E-7</v>
      </c>
      <c r="T55" s="110">
        <f>G55/($AK$5*AH55*0.001*Table112348[[#This Row],[pho (%)]])</f>
        <v>1.3448224734950388E-6</v>
      </c>
      <c r="U55" s="133">
        <f>Table112348[[#This Row],[M (KN.mm)]]/(Table112348[[#This Row],[b (mm)]]*Table112348[[#This Row],[d (mm)]]*Table112348[[#This Row],[pho (%)]])</f>
        <v>1.9703866130657719</v>
      </c>
      <c r="V55" s="110">
        <f>E55*224.8/(2*SQRT(Table112348[[#This Row],[fc (Mpa)]]*145.037)*Table112348[[#This Row],[b (mm)]]*Table112348[[#This Row],[d (mm)]]*(1/25.4)^2)</f>
        <v>0.90357779767675273</v>
      </c>
      <c r="W55" s="110">
        <f>Table112348[[#This Row],[M (KN.mm)]]/$G$60</f>
        <v>0.53846153846153855</v>
      </c>
      <c r="X55" s="110">
        <f t="shared" si="17"/>
        <v>0.90357779767675273</v>
      </c>
      <c r="Y55" s="110">
        <f t="shared" si="30"/>
        <v>1905</v>
      </c>
      <c r="Z55" s="110">
        <f t="shared" si="31"/>
        <v>666.75</v>
      </c>
      <c r="AA55" s="110">
        <f t="shared" si="32"/>
        <v>763.52399999999989</v>
      </c>
      <c r="AB55" s="134">
        <f t="shared" si="33"/>
        <v>571.5</v>
      </c>
      <c r="AC55" s="7">
        <v>29.65</v>
      </c>
      <c r="AD55" s="110">
        <f>Table112348[[#This Row],[pho (%)]]/100*Table112348[[#This Row],[b (mm)]]*Table112348[[#This Row],[h (mm)]]</f>
        <v>3447.1963313999995</v>
      </c>
      <c r="AE55" s="135">
        <v>0.79</v>
      </c>
      <c r="AF55" s="110">
        <v>640.5</v>
      </c>
      <c r="AG55" s="132">
        <f>(1/3-0.21*(MIN(Table112348[[#This Row],[b (mm)]],AA55)/MAX(Table112348[[#This Row],[b (mm)]],AA55))*(MIN(Table112348[[#This Row],[b (mm)]],AA55)^4/(12*MAX(Table112348[[#This Row],[b (mm)]],AA55)^4)))*MAX(Table112348[[#This Row],[b (mm)]],AA55)*MIN(Table112348[[#This Row],[b (mm)]],AA55)^3</f>
        <v>46920211151.527954</v>
      </c>
      <c r="AH55" s="132">
        <f>Table112348[[#This Row],[b (mm)]]*AA55^3/12</f>
        <v>21198399245.690769</v>
      </c>
      <c r="AI55" s="132">
        <f t="shared" si="34"/>
        <v>3810</v>
      </c>
      <c r="AJ55" s="106"/>
      <c r="AK55" s="107"/>
      <c r="AN55" s="105"/>
      <c r="AO55" s="105"/>
      <c r="AP55" s="105"/>
    </row>
    <row r="56" spans="1:44" x14ac:dyDescent="0.25">
      <c r="A56" s="184" t="s">
        <v>181</v>
      </c>
      <c r="B56" s="184" t="s">
        <v>65</v>
      </c>
      <c r="C56" s="183">
        <v>55</v>
      </c>
      <c r="D56" s="130">
        <f>Table112348[[#This Row],[a (mm)]]/Table112348[[#This Row],[d (mm)]]</f>
        <v>2.8571428571428572</v>
      </c>
      <c r="E56" s="184">
        <v>355.84000000000003</v>
      </c>
      <c r="F56" s="127">
        <f>Table112348[[#This Row],[d (mm)]]</f>
        <v>666.75</v>
      </c>
      <c r="G56" s="110">
        <f t="shared" si="26"/>
        <v>677875.20000000007</v>
      </c>
      <c r="H56" s="110">
        <f t="shared" si="27"/>
        <v>1.2141825760698066E-6</v>
      </c>
      <c r="I56" s="132">
        <f>G56/(Table112348[[#This Row],[b (mm)]]*Z56^2)</f>
        <v>2.6681329250791536E-3</v>
      </c>
      <c r="J56" s="110">
        <f t="shared" si="28"/>
        <v>0.46047024113893564</v>
      </c>
      <c r="K56" s="110">
        <f t="shared" si="29"/>
        <v>2.4152670668584748E-7</v>
      </c>
      <c r="L56" s="132">
        <f>E56/(Table112348[[#This Row],[b (mm)]]*Z56)</f>
        <v>9.3384652377770372E-4</v>
      </c>
      <c r="M56" s="132">
        <f>Table112348[[#This Row],[M (KN.mm)]]/(Table112348[[#This Row],[b (mm)]]*Table112348[[#This Row],[d (mm)]])</f>
        <v>1.7789776277965257</v>
      </c>
      <c r="N56" s="132">
        <f>Table112348[[#This Row],[M (KN.mm)]]/(Table112348[[#This Row],[b (mm)]]*Table112348[[#This Row],[h (mm)]])</f>
        <v>1.553498427467026</v>
      </c>
      <c r="O56" s="133">
        <f>Table112348[[#This Row],[M (KN.mm)]]/(Table112348[[#This Row],[b (mm)]]*Table112348[[#This Row],[h (mm)]]*Table112348[[#This Row],[L(mm)]])</f>
        <v>4.0774236941391759E-4</v>
      </c>
      <c r="P56" s="133">
        <f>Table112348[[#This Row],[M (KN.mm)]]/(Table112348[[#This Row],[b (mm)]]*Table112348[[#This Row],[d (mm)]]*Table112348[[#This Row],[L(mm)]])</f>
        <v>4.6692326188885186E-4</v>
      </c>
      <c r="Q56" s="133">
        <f>Table112348[[#This Row],[M (KN.mm)]]/(Table112348[[#This Row],[b (mm)]]*Table112348[[#This Row],[h (mm)]]*Table112348[[#This Row],[L(mm)]]*Table112348[[#This Row],[fc (Mpa)]])</f>
        <v>1.3751850570452534E-5</v>
      </c>
      <c r="R56" s="133">
        <f>Table112348[[#This Row],[M (KN.mm)]]/(Table112348[[#This Row],[b (mm)]]*Table112348[[#This Row],[h (mm)]]*Table112348[[#This Row],[L(mm)]]/2)</f>
        <v>8.1548473882783518E-4</v>
      </c>
      <c r="S56" s="133">
        <f>Table112348[[#This Row],[M (KN.mm)]]/(Table112348[[#This Row],[a (mm)]]*Table112348[[#This Row],[b (mm)]]*Table112348[[#This Row],[h (mm)]]*Table112348[[#This Row],[L(mm)]]/2)</f>
        <v>4.2807597838731505E-7</v>
      </c>
      <c r="T56" s="110">
        <f>G56/($AK$5*AH56*0.001*Table112348[[#This Row],[pho (%)]])</f>
        <v>1.536939969708616E-6</v>
      </c>
      <c r="U56" s="133">
        <f>Table112348[[#This Row],[M (KN.mm)]]/(Table112348[[#This Row],[b (mm)]]*Table112348[[#This Row],[d (mm)]]*Table112348[[#This Row],[pho (%)]])</f>
        <v>2.2518704149323105</v>
      </c>
      <c r="V56" s="110">
        <f>E56*224.8/(2*SQRT(Table112348[[#This Row],[fc (Mpa)]]*145.037)*Table112348[[#This Row],[b (mm)]]*Table112348[[#This Row],[d (mm)]]*(1/25.4)^2)</f>
        <v>1.0326603402020031</v>
      </c>
      <c r="W56" s="110">
        <f>Table112348[[#This Row],[M (KN.mm)]]/$G$60</f>
        <v>0.61538461538461542</v>
      </c>
      <c r="X56" s="110">
        <f t="shared" si="17"/>
        <v>1.0326603402020031</v>
      </c>
      <c r="Y56" s="110">
        <f t="shared" si="30"/>
        <v>1905</v>
      </c>
      <c r="Z56" s="110">
        <f t="shared" si="31"/>
        <v>666.75</v>
      </c>
      <c r="AA56" s="110">
        <f t="shared" si="32"/>
        <v>763.52399999999989</v>
      </c>
      <c r="AB56" s="134">
        <f t="shared" si="33"/>
        <v>571.5</v>
      </c>
      <c r="AC56" s="7">
        <v>29.65</v>
      </c>
      <c r="AD56" s="110">
        <f>Table112348[[#This Row],[pho (%)]]/100*Table112348[[#This Row],[b (mm)]]*Table112348[[#This Row],[h (mm)]]</f>
        <v>3447.1963313999995</v>
      </c>
      <c r="AE56" s="135">
        <v>0.79</v>
      </c>
      <c r="AF56" s="110">
        <v>640.5</v>
      </c>
      <c r="AG56" s="132">
        <f>(1/3-0.21*(MIN(Table112348[[#This Row],[b (mm)]],AA56)/MAX(Table112348[[#This Row],[b (mm)]],AA56))*(MIN(Table112348[[#This Row],[b (mm)]],AA56)^4/(12*MAX(Table112348[[#This Row],[b (mm)]],AA56)^4)))*MAX(Table112348[[#This Row],[b (mm)]],AA56)*MIN(Table112348[[#This Row],[b (mm)]],AA56)^3</f>
        <v>46920211151.527954</v>
      </c>
      <c r="AH56" s="132">
        <f>Table112348[[#This Row],[b (mm)]]*AA56^3/12</f>
        <v>21198399245.690769</v>
      </c>
      <c r="AI56" s="132">
        <f t="shared" si="34"/>
        <v>3810</v>
      </c>
      <c r="AJ56" s="182"/>
      <c r="AK56" s="179"/>
      <c r="AN56" s="105"/>
      <c r="AO56" s="105"/>
      <c r="AP56" s="105"/>
    </row>
    <row r="57" spans="1:44" x14ac:dyDescent="0.25">
      <c r="A57" s="184" t="s">
        <v>181</v>
      </c>
      <c r="B57" s="184" t="s">
        <v>66</v>
      </c>
      <c r="C57" s="183">
        <v>56</v>
      </c>
      <c r="D57" s="130">
        <f>Table112348[[#This Row],[a (mm)]]/Table112348[[#This Row],[d (mm)]]</f>
        <v>2.8571428571428572</v>
      </c>
      <c r="E57" s="184">
        <v>400.32000000000005</v>
      </c>
      <c r="F57" s="127">
        <f>Table112348[[#This Row],[d (mm)]]</f>
        <v>666.75</v>
      </c>
      <c r="G57" s="110">
        <f t="shared" si="26"/>
        <v>762609.60000000009</v>
      </c>
      <c r="H57" s="110">
        <f t="shared" si="27"/>
        <v>1.3659553980785324E-6</v>
      </c>
      <c r="I57" s="132">
        <f>G57/(Table112348[[#This Row],[b (mm)]]*Z57^2)</f>
        <v>3.0016495407140477E-3</v>
      </c>
      <c r="J57" s="110">
        <f t="shared" si="28"/>
        <v>0.51802902128130268</v>
      </c>
      <c r="K57" s="110">
        <f t="shared" si="29"/>
        <v>2.7171754502157842E-7</v>
      </c>
      <c r="L57" s="132">
        <f>E57/(Table112348[[#This Row],[b (mm)]]*Z57)</f>
        <v>1.0505773392499168E-3</v>
      </c>
      <c r="M57" s="132">
        <f>Table112348[[#This Row],[M (KN.mm)]]/(Table112348[[#This Row],[b (mm)]]*Table112348[[#This Row],[d (mm)]])</f>
        <v>2.0013498312710913</v>
      </c>
      <c r="N57" s="132">
        <f>Table112348[[#This Row],[M (KN.mm)]]/(Table112348[[#This Row],[b (mm)]]*Table112348[[#This Row],[h (mm)]])</f>
        <v>1.7476857309004044</v>
      </c>
      <c r="O57" s="133">
        <f>Table112348[[#This Row],[M (KN.mm)]]/(Table112348[[#This Row],[b (mm)]]*Table112348[[#This Row],[h (mm)]]*Table112348[[#This Row],[L(mm)]])</f>
        <v>4.5871016559065732E-4</v>
      </c>
      <c r="P57" s="133">
        <f>Table112348[[#This Row],[M (KN.mm)]]/(Table112348[[#This Row],[b (mm)]]*Table112348[[#This Row],[d (mm)]]*Table112348[[#This Row],[L(mm)]])</f>
        <v>5.252886696249584E-4</v>
      </c>
      <c r="Q57" s="133">
        <f>Table112348[[#This Row],[M (KN.mm)]]/(Table112348[[#This Row],[b (mm)]]*Table112348[[#This Row],[h (mm)]]*Table112348[[#This Row],[L(mm)]]*Table112348[[#This Row],[fc (Mpa)]])</f>
        <v>1.5470831891759102E-5</v>
      </c>
      <c r="R57" s="133">
        <f>Table112348[[#This Row],[M (KN.mm)]]/(Table112348[[#This Row],[b (mm)]]*Table112348[[#This Row],[h (mm)]]*Table112348[[#This Row],[L(mm)]]/2)</f>
        <v>9.1742033118131464E-4</v>
      </c>
      <c r="S57" s="133">
        <f>Table112348[[#This Row],[M (KN.mm)]]/(Table112348[[#This Row],[a (mm)]]*Table112348[[#This Row],[b (mm)]]*Table112348[[#This Row],[h (mm)]]*Table112348[[#This Row],[L(mm)]]/2)</f>
        <v>4.815854756857294E-7</v>
      </c>
      <c r="T57" s="110">
        <f>G57/($AK$5*AH57*0.001*Table112348[[#This Row],[pho (%)]])</f>
        <v>1.729057465922193E-6</v>
      </c>
      <c r="U57" s="133">
        <f>Table112348[[#This Row],[M (KN.mm)]]/(Table112348[[#This Row],[b (mm)]]*Table112348[[#This Row],[d (mm)]]*Table112348[[#This Row],[pho (%)]])</f>
        <v>2.5333542167988496</v>
      </c>
      <c r="V57" s="110">
        <f>E57*224.8/(2*SQRT(Table112348[[#This Row],[fc (Mpa)]]*145.037)*Table112348[[#This Row],[b (mm)]]*Table112348[[#This Row],[d (mm)]]*(1/25.4)^2)</f>
        <v>1.1617428827272536</v>
      </c>
      <c r="W57" s="110">
        <f>Table112348[[#This Row],[M (KN.mm)]]/$G$60</f>
        <v>0.6923076923076924</v>
      </c>
      <c r="X57" s="110">
        <f t="shared" si="17"/>
        <v>1.1617428827272536</v>
      </c>
      <c r="Y57" s="110">
        <f t="shared" si="30"/>
        <v>1905</v>
      </c>
      <c r="Z57" s="110">
        <f t="shared" si="31"/>
        <v>666.75</v>
      </c>
      <c r="AA57" s="110">
        <f t="shared" si="32"/>
        <v>763.52399999999989</v>
      </c>
      <c r="AB57" s="134">
        <f t="shared" si="33"/>
        <v>571.5</v>
      </c>
      <c r="AC57" s="7">
        <v>29.65</v>
      </c>
      <c r="AD57" s="110">
        <f>Table112348[[#This Row],[pho (%)]]/100*Table112348[[#This Row],[b (mm)]]*Table112348[[#This Row],[h (mm)]]</f>
        <v>3447.1963313999995</v>
      </c>
      <c r="AE57" s="135">
        <v>0.79</v>
      </c>
      <c r="AF57" s="110">
        <v>640.5</v>
      </c>
      <c r="AG57" s="132">
        <f>(1/3-0.21*(MIN(Table112348[[#This Row],[b (mm)]],AA57)/MAX(Table112348[[#This Row],[b (mm)]],AA57))*(MIN(Table112348[[#This Row],[b (mm)]],AA57)^4/(12*MAX(Table112348[[#This Row],[b (mm)]],AA57)^4)))*MAX(Table112348[[#This Row],[b (mm)]],AA57)*MIN(Table112348[[#This Row],[b (mm)]],AA57)^3</f>
        <v>46920211151.527954</v>
      </c>
      <c r="AH57" s="132">
        <f>Table112348[[#This Row],[b (mm)]]*AA57^3/12</f>
        <v>21198399245.690769</v>
      </c>
      <c r="AI57" s="132">
        <f t="shared" si="34"/>
        <v>3810</v>
      </c>
      <c r="AJ57" s="182"/>
      <c r="AK57" s="179"/>
    </row>
    <row r="58" spans="1:44" x14ac:dyDescent="0.25">
      <c r="A58" s="184" t="s">
        <v>181</v>
      </c>
      <c r="B58" s="184" t="s">
        <v>67</v>
      </c>
      <c r="C58" s="183">
        <v>57</v>
      </c>
      <c r="D58" s="130">
        <f>Table112348[[#This Row],[a (mm)]]/Table112348[[#This Row],[d (mm)]]</f>
        <v>2.8571428571428572</v>
      </c>
      <c r="E58" s="184">
        <v>444.80000000000007</v>
      </c>
      <c r="F58" s="127">
        <f>Table112348[[#This Row],[d (mm)]]</f>
        <v>666.75</v>
      </c>
      <c r="G58" s="110">
        <f t="shared" si="26"/>
        <v>847344.00000000012</v>
      </c>
      <c r="H58" s="110">
        <f t="shared" si="27"/>
        <v>1.5177282200872583E-6</v>
      </c>
      <c r="I58" s="132">
        <f>G58/(Table112348[[#This Row],[b (mm)]]*Z58^2)</f>
        <v>3.3351661563489421E-3</v>
      </c>
      <c r="J58" s="110">
        <f t="shared" si="28"/>
        <v>0.57558780142366961</v>
      </c>
      <c r="K58" s="110">
        <f t="shared" si="29"/>
        <v>3.0190838335730935E-7</v>
      </c>
      <c r="L58" s="132">
        <f>E58/(Table112348[[#This Row],[b (mm)]]*Z58)</f>
        <v>1.1673081547221298E-3</v>
      </c>
      <c r="M58" s="132">
        <f>Table112348[[#This Row],[M (KN.mm)]]/(Table112348[[#This Row],[b (mm)]]*Table112348[[#This Row],[d (mm)]])</f>
        <v>2.223722034745657</v>
      </c>
      <c r="N58" s="132">
        <f>Table112348[[#This Row],[M (KN.mm)]]/(Table112348[[#This Row],[b (mm)]]*Table112348[[#This Row],[h (mm)]])</f>
        <v>1.9418730343337827</v>
      </c>
      <c r="O58" s="133">
        <f>Table112348[[#This Row],[M (KN.mm)]]/(Table112348[[#This Row],[b (mm)]]*Table112348[[#This Row],[h (mm)]]*Table112348[[#This Row],[L(mm)]])</f>
        <v>5.09677961767397E-4</v>
      </c>
      <c r="P58" s="133">
        <f>Table112348[[#This Row],[M (KN.mm)]]/(Table112348[[#This Row],[b (mm)]]*Table112348[[#This Row],[d (mm)]]*Table112348[[#This Row],[L(mm)]])</f>
        <v>5.8365407736106489E-4</v>
      </c>
      <c r="Q58" s="133">
        <f>Table112348[[#This Row],[M (KN.mm)]]/(Table112348[[#This Row],[b (mm)]]*Table112348[[#This Row],[h (mm)]]*Table112348[[#This Row],[L(mm)]]*Table112348[[#This Row],[fc (Mpa)]])</f>
        <v>1.7189813213065668E-5</v>
      </c>
      <c r="R58" s="133">
        <f>Table112348[[#This Row],[M (KN.mm)]]/(Table112348[[#This Row],[b (mm)]]*Table112348[[#This Row],[h (mm)]]*Table112348[[#This Row],[L(mm)]]/2)</f>
        <v>1.019355923534794E-3</v>
      </c>
      <c r="S58" s="133">
        <f>Table112348[[#This Row],[M (KN.mm)]]/(Table112348[[#This Row],[a (mm)]]*Table112348[[#This Row],[b (mm)]]*Table112348[[#This Row],[h (mm)]]*Table112348[[#This Row],[L(mm)]]/2)</f>
        <v>5.350949729841438E-7</v>
      </c>
      <c r="T58" s="110">
        <f>G58/($AK$5*AH58*0.001*Table112348[[#This Row],[pho (%)]])</f>
        <v>1.92117496213577E-6</v>
      </c>
      <c r="U58" s="133">
        <f>Table112348[[#This Row],[M (KN.mm)]]/(Table112348[[#This Row],[b (mm)]]*Table112348[[#This Row],[d (mm)]]*Table112348[[#This Row],[pho (%)]])</f>
        <v>2.8148380186653883</v>
      </c>
      <c r="V58" s="110">
        <f>E58*224.8/(2*SQRT(Table112348[[#This Row],[fc (Mpa)]]*145.037)*Table112348[[#This Row],[b (mm)]]*Table112348[[#This Row],[d (mm)]]*(1/25.4)^2)</f>
        <v>1.2908254252525042</v>
      </c>
      <c r="W58" s="110">
        <f>Table112348[[#This Row],[M (KN.mm)]]/$G$60</f>
        <v>0.76923076923076938</v>
      </c>
      <c r="X58" s="110">
        <f t="shared" si="17"/>
        <v>1.2908254252525042</v>
      </c>
      <c r="Y58" s="110">
        <f t="shared" si="30"/>
        <v>1905</v>
      </c>
      <c r="Z58" s="110">
        <f t="shared" si="31"/>
        <v>666.75</v>
      </c>
      <c r="AA58" s="110">
        <f t="shared" si="32"/>
        <v>763.52399999999989</v>
      </c>
      <c r="AB58" s="134">
        <f t="shared" si="33"/>
        <v>571.5</v>
      </c>
      <c r="AC58" s="7">
        <v>29.65</v>
      </c>
      <c r="AD58" s="110">
        <f>Table112348[[#This Row],[pho (%)]]/100*Table112348[[#This Row],[b (mm)]]*Table112348[[#This Row],[h (mm)]]</f>
        <v>3447.1963313999995</v>
      </c>
      <c r="AE58" s="135">
        <v>0.79</v>
      </c>
      <c r="AF58" s="110">
        <v>640.5</v>
      </c>
      <c r="AG58" s="132">
        <f>(1/3-0.21*(MIN(Table112348[[#This Row],[b (mm)]],AA58)/MAX(Table112348[[#This Row],[b (mm)]],AA58))*(MIN(Table112348[[#This Row],[b (mm)]],AA58)^4/(12*MAX(Table112348[[#This Row],[b (mm)]],AA58)^4)))*MAX(Table112348[[#This Row],[b (mm)]],AA58)*MIN(Table112348[[#This Row],[b (mm)]],AA58)^3</f>
        <v>46920211151.527954</v>
      </c>
      <c r="AH58" s="132">
        <f>Table112348[[#This Row],[b (mm)]]*AA58^3/12</f>
        <v>21198399245.690769</v>
      </c>
      <c r="AI58" s="132">
        <f t="shared" si="34"/>
        <v>3810</v>
      </c>
      <c r="AJ58" s="182"/>
      <c r="AK58" s="179"/>
    </row>
    <row r="59" spans="1:44" x14ac:dyDescent="0.25">
      <c r="A59" s="184" t="s">
        <v>181</v>
      </c>
      <c r="B59" s="184" t="s">
        <v>68</v>
      </c>
      <c r="C59" s="183">
        <v>58</v>
      </c>
      <c r="D59" s="130">
        <f>Table112348[[#This Row],[a (mm)]]/Table112348[[#This Row],[d (mm)]]</f>
        <v>2.8571428571428572</v>
      </c>
      <c r="E59" s="184">
        <v>489.28000000000003</v>
      </c>
      <c r="F59" s="127">
        <f>Table112348[[#This Row],[d (mm)]]</f>
        <v>666.75</v>
      </c>
      <c r="G59" s="110">
        <f t="shared" si="26"/>
        <v>932078.4</v>
      </c>
      <c r="H59" s="110">
        <f t="shared" si="27"/>
        <v>1.6695010420959839E-6</v>
      </c>
      <c r="I59" s="132">
        <f>G59/(Table112348[[#This Row],[b (mm)]]*Z59^2)</f>
        <v>3.6686827719838357E-3</v>
      </c>
      <c r="J59" s="110">
        <f t="shared" si="28"/>
        <v>0.63314658156603654</v>
      </c>
      <c r="K59" s="110">
        <f t="shared" si="29"/>
        <v>3.3209922169304024E-7</v>
      </c>
      <c r="L59" s="132">
        <f>E59/(Table112348[[#This Row],[b (mm)]]*Z59)</f>
        <v>1.2840389701943425E-3</v>
      </c>
      <c r="M59" s="132">
        <f>Table112348[[#This Row],[M (KN.mm)]]/(Table112348[[#This Row],[b (mm)]]*Table112348[[#This Row],[d (mm)]])</f>
        <v>2.4460942382202226</v>
      </c>
      <c r="N59" s="132">
        <f>Table112348[[#This Row],[M (KN.mm)]]/(Table112348[[#This Row],[b (mm)]]*Table112348[[#This Row],[h (mm)]])</f>
        <v>2.1360603377671605</v>
      </c>
      <c r="O59" s="133">
        <f>Table112348[[#This Row],[M (KN.mm)]]/(Table112348[[#This Row],[b (mm)]]*Table112348[[#This Row],[h (mm)]]*Table112348[[#This Row],[L(mm)]])</f>
        <v>5.6064575794413662E-4</v>
      </c>
      <c r="P59" s="133">
        <f>Table112348[[#This Row],[M (KN.mm)]]/(Table112348[[#This Row],[b (mm)]]*Table112348[[#This Row],[d (mm)]]*Table112348[[#This Row],[L(mm)]])</f>
        <v>6.4201948509717127E-4</v>
      </c>
      <c r="Q59" s="133">
        <f>Table112348[[#This Row],[M (KN.mm)]]/(Table112348[[#This Row],[b (mm)]]*Table112348[[#This Row],[h (mm)]]*Table112348[[#This Row],[L(mm)]]*Table112348[[#This Row],[fc (Mpa)]])</f>
        <v>1.890879453437223E-5</v>
      </c>
      <c r="R59" s="133">
        <f>Table112348[[#This Row],[M (KN.mm)]]/(Table112348[[#This Row],[b (mm)]]*Table112348[[#This Row],[h (mm)]]*Table112348[[#This Row],[L(mm)]]/2)</f>
        <v>1.1212915158882732E-3</v>
      </c>
      <c r="S59" s="133">
        <f>Table112348[[#This Row],[M (KN.mm)]]/(Table112348[[#This Row],[a (mm)]]*Table112348[[#This Row],[b (mm)]]*Table112348[[#This Row],[h (mm)]]*Table112348[[#This Row],[L(mm)]]/2)</f>
        <v>5.886044702825581E-7</v>
      </c>
      <c r="T59" s="110">
        <f>G59/($AK$5*AH59*0.001*Table112348[[#This Row],[pho (%)]])</f>
        <v>2.1132924583493466E-6</v>
      </c>
      <c r="U59" s="133">
        <f>Table112348[[#This Row],[M (KN.mm)]]/(Table112348[[#This Row],[b (mm)]]*Table112348[[#This Row],[d (mm)]]*Table112348[[#This Row],[pho (%)]])</f>
        <v>3.0963218205319269</v>
      </c>
      <c r="V59" s="110">
        <f>E59*224.8/(2*SQRT(Table112348[[#This Row],[fc (Mpa)]]*145.037)*Table112348[[#This Row],[b (mm)]]*Table112348[[#This Row],[d (mm)]]*(1/25.4)^2)</f>
        <v>1.4199079677777544</v>
      </c>
      <c r="W59" s="110">
        <f>Table112348[[#This Row],[M (KN.mm)]]/$G$60</f>
        <v>0.84615384615384626</v>
      </c>
      <c r="X59" s="110">
        <f t="shared" si="17"/>
        <v>1.4199079677777544</v>
      </c>
      <c r="Y59" s="110">
        <f t="shared" si="30"/>
        <v>1905</v>
      </c>
      <c r="Z59" s="110">
        <f t="shared" si="31"/>
        <v>666.75</v>
      </c>
      <c r="AA59" s="110">
        <f t="shared" si="32"/>
        <v>763.52399999999989</v>
      </c>
      <c r="AB59" s="134">
        <f t="shared" si="33"/>
        <v>571.5</v>
      </c>
      <c r="AC59" s="7">
        <v>29.65</v>
      </c>
      <c r="AD59" s="110">
        <f>Table112348[[#This Row],[pho (%)]]/100*Table112348[[#This Row],[b (mm)]]*Table112348[[#This Row],[h (mm)]]</f>
        <v>3447.1963313999995</v>
      </c>
      <c r="AE59" s="135">
        <v>0.79</v>
      </c>
      <c r="AF59" s="110">
        <v>640.5</v>
      </c>
      <c r="AG59" s="132">
        <f>(1/3-0.21*(MIN(Table112348[[#This Row],[b (mm)]],AA59)/MAX(Table112348[[#This Row],[b (mm)]],AA59))*(MIN(Table112348[[#This Row],[b (mm)]],AA59)^4/(12*MAX(Table112348[[#This Row],[b (mm)]],AA59)^4)))*MAX(Table112348[[#This Row],[b (mm)]],AA59)*MIN(Table112348[[#This Row],[b (mm)]],AA59)^3</f>
        <v>46920211151.527954</v>
      </c>
      <c r="AH59" s="132">
        <f>Table112348[[#This Row],[b (mm)]]*AA59^3/12</f>
        <v>21198399245.690769</v>
      </c>
      <c r="AI59" s="132">
        <f t="shared" si="34"/>
        <v>3810</v>
      </c>
      <c r="AJ59" s="182"/>
      <c r="AK59" s="179"/>
    </row>
    <row r="60" spans="1:44" x14ac:dyDescent="0.25">
      <c r="A60" s="184" t="s">
        <v>181</v>
      </c>
      <c r="B60" s="184" t="s">
        <v>174</v>
      </c>
      <c r="C60" s="183">
        <v>59</v>
      </c>
      <c r="D60" s="130">
        <f>Table112348[[#This Row],[a (mm)]]/Table112348[[#This Row],[d (mm)]]</f>
        <v>2.8571428571428572</v>
      </c>
      <c r="E60" s="184">
        <v>578.24</v>
      </c>
      <c r="F60" s="127">
        <f>Table112348[[#This Row],[d (mm)]]</f>
        <v>666.75</v>
      </c>
      <c r="G60" s="110">
        <f t="shared" si="26"/>
        <v>1101547.2</v>
      </c>
      <c r="H60" s="110">
        <f t="shared" si="27"/>
        <v>1.9730466861134352E-6</v>
      </c>
      <c r="I60" s="132">
        <f>G60/(Table112348[[#This Row],[b (mm)]]*Z60^2)</f>
        <v>4.3357160032536238E-3</v>
      </c>
      <c r="J60" s="110">
        <f t="shared" si="28"/>
        <v>0.74826414185077039</v>
      </c>
      <c r="K60" s="110">
        <f t="shared" si="29"/>
        <v>3.9248089836450211E-7</v>
      </c>
      <c r="L60" s="132">
        <f>E60/(Table112348[[#This Row],[b (mm)]]*Z60)</f>
        <v>1.5175006011387685E-3</v>
      </c>
      <c r="M60" s="132">
        <f>Table112348[[#This Row],[M (KN.mm)]]/(Table112348[[#This Row],[b (mm)]]*Table112348[[#This Row],[d (mm)]])</f>
        <v>2.8908386451693535</v>
      </c>
      <c r="N60" s="132">
        <f>Table112348[[#This Row],[M (KN.mm)]]/(Table112348[[#This Row],[b (mm)]]*Table112348[[#This Row],[h (mm)]])</f>
        <v>2.5244349446339167</v>
      </c>
      <c r="O60" s="133">
        <f>Table112348[[#This Row],[M (KN.mm)]]/(Table112348[[#This Row],[b (mm)]]*Table112348[[#This Row],[h (mm)]]*Table112348[[#This Row],[L(mm)]])</f>
        <v>6.6258135029761598E-4</v>
      </c>
      <c r="P60" s="133">
        <f>Table112348[[#This Row],[M (KN.mm)]]/(Table112348[[#This Row],[b (mm)]]*Table112348[[#This Row],[d (mm)]]*Table112348[[#This Row],[L(mm)]])</f>
        <v>7.5875030056938414E-4</v>
      </c>
      <c r="Q60" s="133">
        <f>Table112348[[#This Row],[M (KN.mm)]]/(Table112348[[#This Row],[b (mm)]]*Table112348[[#This Row],[h (mm)]]*Table112348[[#This Row],[L(mm)]]*Table112348[[#This Row],[fc (Mpa)]])</f>
        <v>2.2346757176985362E-5</v>
      </c>
      <c r="R60" s="133">
        <f>Table112348[[#This Row],[M (KN.mm)]]/(Table112348[[#This Row],[b (mm)]]*Table112348[[#This Row],[h (mm)]]*Table112348[[#This Row],[L(mm)]]/2)</f>
        <v>1.325162700595232E-3</v>
      </c>
      <c r="S60" s="133">
        <f>Table112348[[#This Row],[M (KN.mm)]]/(Table112348[[#This Row],[a (mm)]]*Table112348[[#This Row],[b (mm)]]*Table112348[[#This Row],[h (mm)]]*Table112348[[#This Row],[L(mm)]]/2)</f>
        <v>6.956234648793868E-7</v>
      </c>
      <c r="T60" s="110">
        <f>G60/($AK$5*AH60*0.001*Table112348[[#This Row],[pho (%)]])</f>
        <v>2.4975274507765006E-6</v>
      </c>
      <c r="U60" s="133">
        <f>Table112348[[#This Row],[M (KN.mm)]]/(Table112348[[#This Row],[b (mm)]]*Table112348[[#This Row],[d (mm)]]*Table112348[[#This Row],[pho (%)]])</f>
        <v>3.6592894242650043</v>
      </c>
      <c r="V60" s="110">
        <f>E60*224.8/(2*SQRT(Table112348[[#This Row],[fc (Mpa)]]*145.037)*Table112348[[#This Row],[b (mm)]]*Table112348[[#This Row],[d (mm)]]*(1/25.4)^2)</f>
        <v>1.678073052828255</v>
      </c>
      <c r="W60" s="110">
        <f>Table112348[[#This Row],[M (KN.mm)]]/$G$60</f>
        <v>1</v>
      </c>
      <c r="X60" s="110">
        <f t="shared" si="17"/>
        <v>1.678073052828255</v>
      </c>
      <c r="Y60" s="110">
        <f t="shared" si="30"/>
        <v>1905</v>
      </c>
      <c r="Z60" s="110">
        <f t="shared" si="31"/>
        <v>666.75</v>
      </c>
      <c r="AA60" s="110">
        <f t="shared" si="32"/>
        <v>763.52399999999989</v>
      </c>
      <c r="AB60" s="134">
        <f t="shared" si="33"/>
        <v>571.5</v>
      </c>
      <c r="AC60" s="7">
        <v>29.65</v>
      </c>
      <c r="AD60" s="110">
        <f>Table112348[[#This Row],[pho (%)]]/100*Table112348[[#This Row],[b (mm)]]*Table112348[[#This Row],[h (mm)]]</f>
        <v>3447.1963313999995</v>
      </c>
      <c r="AE60" s="135">
        <v>0.79</v>
      </c>
      <c r="AF60" s="110">
        <v>640.5</v>
      </c>
      <c r="AG60" s="132">
        <f>(1/3-0.21*(MIN(Table112348[[#This Row],[b (mm)]],AA60)/MAX(Table112348[[#This Row],[b (mm)]],AA60))*(MIN(Table112348[[#This Row],[b (mm)]],AA60)^4/(12*MAX(Table112348[[#This Row],[b (mm)]],AA60)^4)))*MAX(Table112348[[#This Row],[b (mm)]],AA60)*MIN(Table112348[[#This Row],[b (mm)]],AA60)^3</f>
        <v>46920211151.527954</v>
      </c>
      <c r="AH60" s="132">
        <f>Table112348[[#This Row],[b (mm)]]*AA60^3/12</f>
        <v>21198399245.690769</v>
      </c>
      <c r="AI60" s="132">
        <f t="shared" si="34"/>
        <v>3810</v>
      </c>
      <c r="AJ60" s="182"/>
      <c r="AK60" s="179"/>
    </row>
    <row r="61" spans="1:44" x14ac:dyDescent="0.25">
      <c r="A61" s="225" t="s">
        <v>182</v>
      </c>
      <c r="B61" s="226" t="s">
        <v>60</v>
      </c>
      <c r="C61" s="185">
        <v>60</v>
      </c>
      <c r="D61" s="130">
        <f>Table112348[[#This Row],[a (mm)]]/Table112348[[#This Row],[d (mm)]]</f>
        <v>2.8571428571428572</v>
      </c>
      <c r="E61" s="226">
        <v>133.44</v>
      </c>
      <c r="F61" s="127">
        <f>Table112348[[#This Row],[d (mm)]]</f>
        <v>666.75</v>
      </c>
      <c r="G61" s="132">
        <f t="shared" ref="G61:G77" si="35">E61*Y61</f>
        <v>254203.19999999998</v>
      </c>
      <c r="H61" s="132">
        <f t="shared" ref="H61:H77" si="36">G61/($AK$5*AH61*0.001)</f>
        <v>4.5531846602617742E-7</v>
      </c>
      <c r="I61" s="132">
        <f>G61/(Table112348[[#This Row],[b (mm)]]*Z61^2)</f>
        <v>1.0005498469046823E-3</v>
      </c>
      <c r="J61" s="132">
        <f t="shared" ref="J61:J77" si="37">G61/(AD61*AF61*Z61*0.001)</f>
        <v>0.17267634042710084</v>
      </c>
      <c r="K61" s="132">
        <f t="shared" ref="K61:K77" si="38">E61/($AK$4*AG61*0.001)</f>
        <v>9.0572515007192793E-8</v>
      </c>
      <c r="L61" s="132">
        <f>E61/(Table112348[[#This Row],[b (mm)]]*Z61)</f>
        <v>3.5019244641663888E-4</v>
      </c>
      <c r="M61" s="132">
        <f>Table112348[[#This Row],[M (KN.mm)]]/(Table112348[[#This Row],[b (mm)]]*Table112348[[#This Row],[d (mm)]])</f>
        <v>0.66711661042369697</v>
      </c>
      <c r="N61" s="132">
        <f>Table112348[[#This Row],[M (KN.mm)]]/(Table112348[[#This Row],[b (mm)]]*Table112348[[#This Row],[h (mm)]])</f>
        <v>0.58256191030013471</v>
      </c>
      <c r="O61" s="145">
        <f>Table112348[[#This Row],[M (KN.mm)]]/(Table112348[[#This Row],[b (mm)]]*Table112348[[#This Row],[h (mm)]]*Table112348[[#This Row],[L(mm)]])</f>
        <v>1.5290338853021906E-4</v>
      </c>
      <c r="P61" s="145">
        <f>Table112348[[#This Row],[M (KN.mm)]]/(Table112348[[#This Row],[b (mm)]]*Table112348[[#This Row],[d (mm)]]*Table112348[[#This Row],[L(mm)]])</f>
        <v>1.7509622320831941E-4</v>
      </c>
      <c r="Q61" s="145">
        <f>Table112348[[#This Row],[M (KN.mm)]]/(Table112348[[#This Row],[b (mm)]]*Table112348[[#This Row],[h (mm)]]*Table112348[[#This Row],[L(mm)]]*Table112348[[#This Row],[fc (Mpa)]])</f>
        <v>5.1569439639196991E-6</v>
      </c>
      <c r="R61" s="145">
        <f>Table112348[[#This Row],[M (KN.mm)]]/(Table112348[[#This Row],[b (mm)]]*Table112348[[#This Row],[h (mm)]]*Table112348[[#This Row],[L(mm)]]/2)</f>
        <v>3.0580677706043812E-4</v>
      </c>
      <c r="S61" s="133">
        <f>Table112348[[#This Row],[M (KN.mm)]]/(Table112348[[#This Row],[a (mm)]]*Table112348[[#This Row],[b (mm)]]*Table112348[[#This Row],[h (mm)]]*Table112348[[#This Row],[L(mm)]]/2)</f>
        <v>1.605284918952431E-7</v>
      </c>
      <c r="T61" s="110">
        <f>G61/($AK$5*AH61*0.001*Table112348[[#This Row],[pho (%)]])</f>
        <v>5.7635248864073089E-7</v>
      </c>
      <c r="U61" s="133">
        <f>Table112348[[#This Row],[M (KN.mm)]]/(Table112348[[#This Row],[b (mm)]]*Table112348[[#This Row],[d (mm)]]*Table112348[[#This Row],[pho (%)]])</f>
        <v>0.8444514055996164</v>
      </c>
      <c r="V61" s="110">
        <f>E61*224.8/(2*SQRT(Table112348[[#This Row],[fc (Mpa)]]*145.037)*Table112348[[#This Row],[b (mm)]]*Table112348[[#This Row],[d (mm)]]*(1/25.4)^2)</f>
        <v>0.38724762757575115</v>
      </c>
      <c r="W61" s="145">
        <f>Table112348[[#This Row],[M (KN.mm)]]/$G$70</f>
        <v>0.22222222222222218</v>
      </c>
      <c r="X61" s="110">
        <f t="shared" si="17"/>
        <v>0.38724762757575115</v>
      </c>
      <c r="Y61" s="110">
        <f t="shared" si="30"/>
        <v>1905</v>
      </c>
      <c r="Z61" s="110">
        <f t="shared" si="31"/>
        <v>666.75</v>
      </c>
      <c r="AA61" s="110">
        <f t="shared" si="32"/>
        <v>763.52399999999989</v>
      </c>
      <c r="AB61" s="134">
        <f t="shared" si="33"/>
        <v>571.5</v>
      </c>
      <c r="AC61" s="7">
        <v>29.65</v>
      </c>
      <c r="AD61" s="110">
        <f>Table112348[[#This Row],[pho (%)]]/100*Table112348[[#This Row],[b (mm)]]*Table112348[[#This Row],[h (mm)]]</f>
        <v>3447.1963313999995</v>
      </c>
      <c r="AE61" s="135">
        <v>0.79</v>
      </c>
      <c r="AF61" s="110">
        <v>640.5</v>
      </c>
      <c r="AG61" s="132">
        <f>(1/3-0.21*(MIN(Table112348[[#This Row],[b (mm)]],AA61)/MAX(Table112348[[#This Row],[b (mm)]],AA61))*(MIN(Table112348[[#This Row],[b (mm)]],AA61)^4/(12*MAX(Table112348[[#This Row],[b (mm)]],AA61)^4)))*MAX(Table112348[[#This Row],[b (mm)]],AA61)*MIN(Table112348[[#This Row],[b (mm)]],AA61)^3</f>
        <v>46920211151.527954</v>
      </c>
      <c r="AH61" s="132">
        <f>Table112348[[#This Row],[b (mm)]]*AA61^3/12</f>
        <v>21198399245.690769</v>
      </c>
      <c r="AI61" s="132">
        <f t="shared" si="34"/>
        <v>3810</v>
      </c>
      <c r="AJ61" s="182"/>
      <c r="AK61" s="179"/>
    </row>
    <row r="62" spans="1:44" x14ac:dyDescent="0.25">
      <c r="A62" s="225" t="s">
        <v>182</v>
      </c>
      <c r="B62" s="226" t="s">
        <v>61</v>
      </c>
      <c r="C62" s="185">
        <v>61</v>
      </c>
      <c r="D62" s="130">
        <f>Table112348[[#This Row],[a (mm)]]/Table112348[[#This Row],[d (mm)]]</f>
        <v>2.8571428571428572</v>
      </c>
      <c r="E62" s="226">
        <v>177.92000000000002</v>
      </c>
      <c r="F62" s="127">
        <f>Table112348[[#This Row],[d (mm)]]</f>
        <v>666.75</v>
      </c>
      <c r="G62" s="132">
        <f t="shared" si="35"/>
        <v>338937.60000000003</v>
      </c>
      <c r="H62" s="132">
        <f t="shared" si="36"/>
        <v>6.070912880349033E-7</v>
      </c>
      <c r="I62" s="132">
        <f>G62/(Table112348[[#This Row],[b (mm)]]*Z62^2)</f>
        <v>1.3340664625395768E-3</v>
      </c>
      <c r="J62" s="132">
        <f t="shared" si="37"/>
        <v>0.23023512056946782</v>
      </c>
      <c r="K62" s="132">
        <f t="shared" si="38"/>
        <v>1.2076335334292374E-7</v>
      </c>
      <c r="L62" s="132">
        <f>E62/(Table112348[[#This Row],[b (mm)]]*Z62)</f>
        <v>4.6692326188885186E-4</v>
      </c>
      <c r="M62" s="132">
        <f>Table112348[[#This Row],[M (KN.mm)]]/(Table112348[[#This Row],[b (mm)]]*Table112348[[#This Row],[d (mm)]])</f>
        <v>0.88948881389826284</v>
      </c>
      <c r="N62" s="132">
        <f>Table112348[[#This Row],[M (KN.mm)]]/(Table112348[[#This Row],[b (mm)]]*Table112348[[#This Row],[h (mm)]])</f>
        <v>0.77674921373351302</v>
      </c>
      <c r="O62" s="145">
        <f>Table112348[[#This Row],[M (KN.mm)]]/(Table112348[[#This Row],[b (mm)]]*Table112348[[#This Row],[h (mm)]]*Table112348[[#This Row],[L(mm)]])</f>
        <v>2.0387118470695879E-4</v>
      </c>
      <c r="P62" s="145">
        <f>Table112348[[#This Row],[M (KN.mm)]]/(Table112348[[#This Row],[b (mm)]]*Table112348[[#This Row],[d (mm)]]*Table112348[[#This Row],[L(mm)]])</f>
        <v>2.3346163094442593E-4</v>
      </c>
      <c r="Q62" s="145">
        <f>Table112348[[#This Row],[M (KN.mm)]]/(Table112348[[#This Row],[b (mm)]]*Table112348[[#This Row],[h (mm)]]*Table112348[[#This Row],[L(mm)]]*Table112348[[#This Row],[fc (Mpa)]])</f>
        <v>6.8759252852262669E-6</v>
      </c>
      <c r="R62" s="145">
        <f>Table112348[[#This Row],[M (KN.mm)]]/(Table112348[[#This Row],[b (mm)]]*Table112348[[#This Row],[h (mm)]]*Table112348[[#This Row],[L(mm)]]/2)</f>
        <v>4.0774236941391759E-4</v>
      </c>
      <c r="S62" s="133">
        <f>Table112348[[#This Row],[M (KN.mm)]]/(Table112348[[#This Row],[a (mm)]]*Table112348[[#This Row],[b (mm)]]*Table112348[[#This Row],[h (mm)]]*Table112348[[#This Row],[L(mm)]]/2)</f>
        <v>2.1403798919365753E-7</v>
      </c>
      <c r="T62" s="110">
        <f>G62/($AK$5*AH62*0.001*Table112348[[#This Row],[pho (%)]])</f>
        <v>7.68469984854308E-7</v>
      </c>
      <c r="U62" s="133">
        <f>Table112348[[#This Row],[M (KN.mm)]]/(Table112348[[#This Row],[b (mm)]]*Table112348[[#This Row],[d (mm)]]*Table112348[[#This Row],[pho (%)]])</f>
        <v>1.1259352074661553</v>
      </c>
      <c r="V62" s="110">
        <f>E62*224.8/(2*SQRT(Table112348[[#This Row],[fc (Mpa)]]*145.037)*Table112348[[#This Row],[b (mm)]]*Table112348[[#This Row],[d (mm)]]*(1/25.4)^2)</f>
        <v>0.51633017010100157</v>
      </c>
      <c r="W62" s="145">
        <f>Table112348[[#This Row],[M (KN.mm)]]/$G$70</f>
        <v>0.29629629629629628</v>
      </c>
      <c r="X62" s="110">
        <f t="shared" si="17"/>
        <v>0.51633017010100157</v>
      </c>
      <c r="Y62" s="110">
        <f t="shared" si="30"/>
        <v>1905</v>
      </c>
      <c r="Z62" s="110">
        <f t="shared" si="31"/>
        <v>666.75</v>
      </c>
      <c r="AA62" s="110">
        <f t="shared" si="32"/>
        <v>763.52399999999989</v>
      </c>
      <c r="AB62" s="134">
        <f t="shared" si="33"/>
        <v>571.5</v>
      </c>
      <c r="AC62" s="7">
        <v>29.65</v>
      </c>
      <c r="AD62" s="110">
        <f>Table112348[[#This Row],[pho (%)]]/100*Table112348[[#This Row],[b (mm)]]*Table112348[[#This Row],[h (mm)]]</f>
        <v>3447.1963313999995</v>
      </c>
      <c r="AE62" s="135">
        <v>0.79</v>
      </c>
      <c r="AF62" s="110">
        <v>640.5</v>
      </c>
      <c r="AG62" s="132">
        <f>(1/3-0.21*(MIN(Table112348[[#This Row],[b (mm)]],AA62)/MAX(Table112348[[#This Row],[b (mm)]],AA62))*(MIN(Table112348[[#This Row],[b (mm)]],AA62)^4/(12*MAX(Table112348[[#This Row],[b (mm)]],AA62)^4)))*MAX(Table112348[[#This Row],[b (mm)]],AA62)*MIN(Table112348[[#This Row],[b (mm)]],AA62)^3</f>
        <v>46920211151.527954</v>
      </c>
      <c r="AH62" s="132">
        <f>Table112348[[#This Row],[b (mm)]]*AA62^3/12</f>
        <v>21198399245.690769</v>
      </c>
      <c r="AI62" s="132">
        <f t="shared" si="34"/>
        <v>3810</v>
      </c>
      <c r="AJ62" s="182"/>
      <c r="AK62" s="179"/>
    </row>
    <row r="63" spans="1:44" x14ac:dyDescent="0.25">
      <c r="A63" s="225" t="s">
        <v>182</v>
      </c>
      <c r="B63" s="226" t="s">
        <v>62</v>
      </c>
      <c r="C63" s="185">
        <v>62</v>
      </c>
      <c r="D63" s="130">
        <f>Table112348[[#This Row],[a (mm)]]/Table112348[[#This Row],[d (mm)]]</f>
        <v>2.8571428571428572</v>
      </c>
      <c r="E63" s="226">
        <v>222.40000000000003</v>
      </c>
      <c r="F63" s="127">
        <f>Table112348[[#This Row],[d (mm)]]</f>
        <v>666.75</v>
      </c>
      <c r="G63" s="132">
        <f t="shared" si="35"/>
        <v>423672.00000000006</v>
      </c>
      <c r="H63" s="132">
        <f t="shared" si="36"/>
        <v>7.5886411004362917E-7</v>
      </c>
      <c r="I63" s="132">
        <f>G63/(Table112348[[#This Row],[b (mm)]]*Z63^2)</f>
        <v>1.6675830781744711E-3</v>
      </c>
      <c r="J63" s="132">
        <f t="shared" si="37"/>
        <v>0.2877939007118348</v>
      </c>
      <c r="K63" s="132">
        <f t="shared" si="38"/>
        <v>1.5095419167865468E-7</v>
      </c>
      <c r="L63" s="132">
        <f>E63/(Table112348[[#This Row],[b (mm)]]*Z63)</f>
        <v>5.8365407736106489E-4</v>
      </c>
      <c r="M63" s="132">
        <f>Table112348[[#This Row],[M (KN.mm)]]/(Table112348[[#This Row],[b (mm)]]*Table112348[[#This Row],[d (mm)]])</f>
        <v>1.1118610173728285</v>
      </c>
      <c r="N63" s="132">
        <f>Table112348[[#This Row],[M (KN.mm)]]/(Table112348[[#This Row],[b (mm)]]*Table112348[[#This Row],[h (mm)]])</f>
        <v>0.97093651716689133</v>
      </c>
      <c r="O63" s="145">
        <f>Table112348[[#This Row],[M (KN.mm)]]/(Table112348[[#This Row],[b (mm)]]*Table112348[[#This Row],[h (mm)]]*Table112348[[#This Row],[L(mm)]])</f>
        <v>2.548389808836985E-4</v>
      </c>
      <c r="P63" s="145">
        <f>Table112348[[#This Row],[M (KN.mm)]]/(Table112348[[#This Row],[b (mm)]]*Table112348[[#This Row],[d (mm)]]*Table112348[[#This Row],[L(mm)]])</f>
        <v>2.9182703868053245E-4</v>
      </c>
      <c r="Q63" s="145">
        <f>Table112348[[#This Row],[M (KN.mm)]]/(Table112348[[#This Row],[b (mm)]]*Table112348[[#This Row],[h (mm)]]*Table112348[[#This Row],[L(mm)]]*Table112348[[#This Row],[fc (Mpa)]])</f>
        <v>8.5949066065328338E-6</v>
      </c>
      <c r="R63" s="145">
        <f>Table112348[[#This Row],[M (KN.mm)]]/(Table112348[[#This Row],[b (mm)]]*Table112348[[#This Row],[h (mm)]]*Table112348[[#This Row],[L(mm)]]/2)</f>
        <v>5.09677961767397E-4</v>
      </c>
      <c r="S63" s="133">
        <f>Table112348[[#This Row],[M (KN.mm)]]/(Table112348[[#This Row],[a (mm)]]*Table112348[[#This Row],[b (mm)]]*Table112348[[#This Row],[h (mm)]]*Table112348[[#This Row],[L(mm)]]/2)</f>
        <v>2.675474864920719E-7</v>
      </c>
      <c r="T63" s="110">
        <f>G63/($AK$5*AH63*0.001*Table112348[[#This Row],[pho (%)]])</f>
        <v>9.60587481067885E-7</v>
      </c>
      <c r="U63" s="133">
        <f>Table112348[[#This Row],[M (KN.mm)]]/(Table112348[[#This Row],[b (mm)]]*Table112348[[#This Row],[d (mm)]]*Table112348[[#This Row],[pho (%)]])</f>
        <v>1.4074190093326941</v>
      </c>
      <c r="V63" s="110">
        <f>E63*224.8/(2*SQRT(Table112348[[#This Row],[fc (Mpa)]]*145.037)*Table112348[[#This Row],[b (mm)]]*Table112348[[#This Row],[d (mm)]]*(1/25.4)^2)</f>
        <v>0.64541271262625211</v>
      </c>
      <c r="W63" s="145">
        <f>Table112348[[#This Row],[M (KN.mm)]]/$G$70</f>
        <v>0.37037037037037035</v>
      </c>
      <c r="X63" s="110">
        <f t="shared" si="17"/>
        <v>0.64541271262625211</v>
      </c>
      <c r="Y63" s="110">
        <f t="shared" si="30"/>
        <v>1905</v>
      </c>
      <c r="Z63" s="110">
        <f t="shared" si="31"/>
        <v>666.75</v>
      </c>
      <c r="AA63" s="110">
        <f t="shared" si="32"/>
        <v>763.52399999999989</v>
      </c>
      <c r="AB63" s="134">
        <f t="shared" si="33"/>
        <v>571.5</v>
      </c>
      <c r="AC63" s="7">
        <v>29.65</v>
      </c>
      <c r="AD63" s="110">
        <f>Table112348[[#This Row],[pho (%)]]/100*Table112348[[#This Row],[b (mm)]]*Table112348[[#This Row],[h (mm)]]</f>
        <v>3447.1963313999995</v>
      </c>
      <c r="AE63" s="135">
        <v>0.79</v>
      </c>
      <c r="AF63" s="110">
        <v>640.5</v>
      </c>
      <c r="AG63" s="132">
        <f>(1/3-0.21*(MIN(Table112348[[#This Row],[b (mm)]],AA63)/MAX(Table112348[[#This Row],[b (mm)]],AA63))*(MIN(Table112348[[#This Row],[b (mm)]],AA63)^4/(12*MAX(Table112348[[#This Row],[b (mm)]],AA63)^4)))*MAX(Table112348[[#This Row],[b (mm)]],AA63)*MIN(Table112348[[#This Row],[b (mm)]],AA63)^3</f>
        <v>46920211151.527954</v>
      </c>
      <c r="AH63" s="132">
        <f>Table112348[[#This Row],[b (mm)]]*AA63^3/12</f>
        <v>21198399245.690769</v>
      </c>
      <c r="AI63" s="132">
        <f t="shared" si="34"/>
        <v>3810</v>
      </c>
      <c r="AJ63" s="182"/>
      <c r="AK63" s="179"/>
    </row>
    <row r="64" spans="1:44" x14ac:dyDescent="0.25">
      <c r="A64" s="225" t="s">
        <v>182</v>
      </c>
      <c r="B64" s="226" t="s">
        <v>63</v>
      </c>
      <c r="C64" s="185">
        <v>63</v>
      </c>
      <c r="D64" s="130">
        <f>Table112348[[#This Row],[a (mm)]]/Table112348[[#This Row],[d (mm)]]</f>
        <v>2.8571428571428572</v>
      </c>
      <c r="E64" s="226">
        <v>266.88</v>
      </c>
      <c r="F64" s="127">
        <f>Table112348[[#This Row],[d (mm)]]</f>
        <v>666.75</v>
      </c>
      <c r="G64" s="132">
        <f t="shared" si="35"/>
        <v>508406.39999999997</v>
      </c>
      <c r="H64" s="132">
        <f t="shared" si="36"/>
        <v>9.1063693205235484E-7</v>
      </c>
      <c r="I64" s="132">
        <f>G64/(Table112348[[#This Row],[b (mm)]]*Z64^2)</f>
        <v>2.0010996938093647E-3</v>
      </c>
      <c r="J64" s="132">
        <f t="shared" si="37"/>
        <v>0.34535268085420168</v>
      </c>
      <c r="K64" s="132">
        <f t="shared" si="38"/>
        <v>1.8114503001438559E-7</v>
      </c>
      <c r="L64" s="132">
        <f>E64/(Table112348[[#This Row],[b (mm)]]*Z64)</f>
        <v>7.0038489283327776E-4</v>
      </c>
      <c r="M64" s="132">
        <f>Table112348[[#This Row],[M (KN.mm)]]/(Table112348[[#This Row],[b (mm)]]*Table112348[[#This Row],[d (mm)]])</f>
        <v>1.3342332208473939</v>
      </c>
      <c r="N64" s="132">
        <f>Table112348[[#This Row],[M (KN.mm)]]/(Table112348[[#This Row],[b (mm)]]*Table112348[[#This Row],[h (mm)]])</f>
        <v>1.1651238206002694</v>
      </c>
      <c r="O64" s="145">
        <f>Table112348[[#This Row],[M (KN.mm)]]/(Table112348[[#This Row],[b (mm)]]*Table112348[[#This Row],[h (mm)]]*Table112348[[#This Row],[L(mm)]])</f>
        <v>3.0580677706043812E-4</v>
      </c>
      <c r="P64" s="145">
        <f>Table112348[[#This Row],[M (KN.mm)]]/(Table112348[[#This Row],[b (mm)]]*Table112348[[#This Row],[d (mm)]]*Table112348[[#This Row],[L(mm)]])</f>
        <v>3.5019244641663883E-4</v>
      </c>
      <c r="Q64" s="145">
        <f>Table112348[[#This Row],[M (KN.mm)]]/(Table112348[[#This Row],[b (mm)]]*Table112348[[#This Row],[h (mm)]]*Table112348[[#This Row],[L(mm)]]*Table112348[[#This Row],[fc (Mpa)]])</f>
        <v>1.0313887927839398E-5</v>
      </c>
      <c r="R64" s="145">
        <f>Table112348[[#This Row],[M (KN.mm)]]/(Table112348[[#This Row],[b (mm)]]*Table112348[[#This Row],[h (mm)]]*Table112348[[#This Row],[L(mm)]]/2)</f>
        <v>6.1161355412087625E-4</v>
      </c>
      <c r="S64" s="133">
        <f>Table112348[[#This Row],[M (KN.mm)]]/(Table112348[[#This Row],[a (mm)]]*Table112348[[#This Row],[b (mm)]]*Table112348[[#This Row],[h (mm)]]*Table112348[[#This Row],[L(mm)]]/2)</f>
        <v>3.210569837904862E-7</v>
      </c>
      <c r="T64" s="110">
        <f>G64/($AK$5*AH64*0.001*Table112348[[#This Row],[pho (%)]])</f>
        <v>1.1527049772814618E-6</v>
      </c>
      <c r="U64" s="133">
        <f>Table112348[[#This Row],[M (KN.mm)]]/(Table112348[[#This Row],[b (mm)]]*Table112348[[#This Row],[d (mm)]]*Table112348[[#This Row],[pho (%)]])</f>
        <v>1.6889028111992328</v>
      </c>
      <c r="V64" s="110">
        <f>E64*224.8/(2*SQRT(Table112348[[#This Row],[fc (Mpa)]]*145.037)*Table112348[[#This Row],[b (mm)]]*Table112348[[#This Row],[d (mm)]]*(1/25.4)^2)</f>
        <v>0.7744952551515023</v>
      </c>
      <c r="W64" s="145">
        <f>Table112348[[#This Row],[M (KN.mm)]]/$G$70</f>
        <v>0.44444444444444436</v>
      </c>
      <c r="X64" s="110">
        <f t="shared" si="17"/>
        <v>0.7744952551515023</v>
      </c>
      <c r="Y64" s="110">
        <f t="shared" si="30"/>
        <v>1905</v>
      </c>
      <c r="Z64" s="110">
        <f t="shared" si="31"/>
        <v>666.75</v>
      </c>
      <c r="AA64" s="110">
        <f t="shared" si="32"/>
        <v>763.52399999999989</v>
      </c>
      <c r="AB64" s="134">
        <f t="shared" si="33"/>
        <v>571.5</v>
      </c>
      <c r="AC64" s="7">
        <v>29.65</v>
      </c>
      <c r="AD64" s="110">
        <f>Table112348[[#This Row],[pho (%)]]/100*Table112348[[#This Row],[b (mm)]]*Table112348[[#This Row],[h (mm)]]</f>
        <v>3447.1963313999995</v>
      </c>
      <c r="AE64" s="135">
        <v>0.79</v>
      </c>
      <c r="AF64" s="110">
        <v>640.5</v>
      </c>
      <c r="AG64" s="132">
        <f>(1/3-0.21*(MIN(Table112348[[#This Row],[b (mm)]],AA64)/MAX(Table112348[[#This Row],[b (mm)]],AA64))*(MIN(Table112348[[#This Row],[b (mm)]],AA64)^4/(12*MAX(Table112348[[#This Row],[b (mm)]],AA64)^4)))*MAX(Table112348[[#This Row],[b (mm)]],AA64)*MIN(Table112348[[#This Row],[b (mm)]],AA64)^3</f>
        <v>46920211151.527954</v>
      </c>
      <c r="AH64" s="132">
        <f>Table112348[[#This Row],[b (mm)]]*AA64^3/12</f>
        <v>21198399245.690769</v>
      </c>
      <c r="AI64" s="132">
        <f t="shared" si="34"/>
        <v>3810</v>
      </c>
      <c r="AJ64" s="182"/>
      <c r="AK64" s="179"/>
    </row>
    <row r="65" spans="1:37" x14ac:dyDescent="0.25">
      <c r="A65" s="225" t="s">
        <v>182</v>
      </c>
      <c r="B65" s="226" t="s">
        <v>64</v>
      </c>
      <c r="C65" s="185">
        <v>64</v>
      </c>
      <c r="D65" s="130">
        <f>Table112348[[#This Row],[a (mm)]]/Table112348[[#This Row],[d (mm)]]</f>
        <v>2.8571428571428572</v>
      </c>
      <c r="E65" s="226">
        <v>311.36</v>
      </c>
      <c r="F65" s="127">
        <f>Table112348[[#This Row],[d (mm)]]</f>
        <v>666.75</v>
      </c>
      <c r="G65" s="132">
        <f t="shared" si="35"/>
        <v>593140.80000000005</v>
      </c>
      <c r="H65" s="132">
        <f t="shared" si="36"/>
        <v>1.0624097540610808E-6</v>
      </c>
      <c r="I65" s="132">
        <f>G65/(Table112348[[#This Row],[b (mm)]]*Z65^2)</f>
        <v>2.3346163094442591E-3</v>
      </c>
      <c r="J65" s="132">
        <f t="shared" si="37"/>
        <v>0.40291146099656872</v>
      </c>
      <c r="K65" s="132">
        <f t="shared" si="38"/>
        <v>2.1133586835011652E-7</v>
      </c>
      <c r="L65" s="132">
        <f>E65/(Table112348[[#This Row],[b (mm)]]*Z65)</f>
        <v>8.1711570830549074E-4</v>
      </c>
      <c r="M65" s="132">
        <f>Table112348[[#This Row],[M (KN.mm)]]/(Table112348[[#This Row],[b (mm)]]*Table112348[[#This Row],[d (mm)]])</f>
        <v>1.5566054243219598</v>
      </c>
      <c r="N65" s="132">
        <f>Table112348[[#This Row],[M (KN.mm)]]/(Table112348[[#This Row],[b (mm)]]*Table112348[[#This Row],[h (mm)]])</f>
        <v>1.3593111240336477</v>
      </c>
      <c r="O65" s="145">
        <f>Table112348[[#This Row],[M (KN.mm)]]/(Table112348[[#This Row],[b (mm)]]*Table112348[[#This Row],[h (mm)]]*Table112348[[#This Row],[L(mm)]])</f>
        <v>3.5677457323717791E-4</v>
      </c>
      <c r="P65" s="145">
        <f>Table112348[[#This Row],[M (KN.mm)]]/(Table112348[[#This Row],[b (mm)]]*Table112348[[#This Row],[d (mm)]]*Table112348[[#This Row],[L(mm)]])</f>
        <v>4.0855785415274537E-4</v>
      </c>
      <c r="Q65" s="145">
        <f>Table112348[[#This Row],[M (KN.mm)]]/(Table112348[[#This Row],[b (mm)]]*Table112348[[#This Row],[h (mm)]]*Table112348[[#This Row],[L(mm)]]*Table112348[[#This Row],[fc (Mpa)]])</f>
        <v>1.2032869249145966E-5</v>
      </c>
      <c r="R65" s="145">
        <f>Table112348[[#This Row],[M (KN.mm)]]/(Table112348[[#This Row],[b (mm)]]*Table112348[[#This Row],[h (mm)]]*Table112348[[#This Row],[L(mm)]]/2)</f>
        <v>7.1354914647435582E-4</v>
      </c>
      <c r="S65" s="133">
        <f>Table112348[[#This Row],[M (KN.mm)]]/(Table112348[[#This Row],[a (mm)]]*Table112348[[#This Row],[b (mm)]]*Table112348[[#This Row],[h (mm)]]*Table112348[[#This Row],[L(mm)]]/2)</f>
        <v>3.7456648108890065E-7</v>
      </c>
      <c r="T65" s="110">
        <f>G65/($AK$5*AH65*0.001*Table112348[[#This Row],[pho (%)]])</f>
        <v>1.3448224734950388E-6</v>
      </c>
      <c r="U65" s="133">
        <f>Table112348[[#This Row],[M (KN.mm)]]/(Table112348[[#This Row],[b (mm)]]*Table112348[[#This Row],[d (mm)]]*Table112348[[#This Row],[pho (%)]])</f>
        <v>1.9703866130657719</v>
      </c>
      <c r="V65" s="110">
        <f>E65*224.8/(2*SQRT(Table112348[[#This Row],[fc (Mpa)]]*145.037)*Table112348[[#This Row],[b (mm)]]*Table112348[[#This Row],[d (mm)]]*(1/25.4)^2)</f>
        <v>0.90357779767675273</v>
      </c>
      <c r="W65" s="145">
        <f>Table112348[[#This Row],[M (KN.mm)]]/$G$70</f>
        <v>0.51851851851851849</v>
      </c>
      <c r="X65" s="110">
        <f t="shared" si="17"/>
        <v>0.90357779767675273</v>
      </c>
      <c r="Y65" s="110">
        <f t="shared" si="30"/>
        <v>1905</v>
      </c>
      <c r="Z65" s="110">
        <f t="shared" si="31"/>
        <v>666.75</v>
      </c>
      <c r="AA65" s="110">
        <f t="shared" si="32"/>
        <v>763.52399999999989</v>
      </c>
      <c r="AB65" s="134">
        <f t="shared" si="33"/>
        <v>571.5</v>
      </c>
      <c r="AC65" s="7">
        <v>29.65</v>
      </c>
      <c r="AD65" s="110">
        <f>Table112348[[#This Row],[pho (%)]]/100*Table112348[[#This Row],[b (mm)]]*Table112348[[#This Row],[h (mm)]]</f>
        <v>3447.1963313999995</v>
      </c>
      <c r="AE65" s="135">
        <v>0.79</v>
      </c>
      <c r="AF65" s="110">
        <v>640.5</v>
      </c>
      <c r="AG65" s="132">
        <f>(1/3-0.21*(MIN(Table112348[[#This Row],[b (mm)]],AA65)/MAX(Table112348[[#This Row],[b (mm)]],AA65))*(MIN(Table112348[[#This Row],[b (mm)]],AA65)^4/(12*MAX(Table112348[[#This Row],[b (mm)]],AA65)^4)))*MAX(Table112348[[#This Row],[b (mm)]],AA65)*MIN(Table112348[[#This Row],[b (mm)]],AA65)^3</f>
        <v>46920211151.527954</v>
      </c>
      <c r="AH65" s="132">
        <f>Table112348[[#This Row],[b (mm)]]*AA65^3/12</f>
        <v>21198399245.690769</v>
      </c>
      <c r="AI65" s="132">
        <f t="shared" si="34"/>
        <v>3810</v>
      </c>
      <c r="AJ65" s="182"/>
      <c r="AK65" s="179"/>
    </row>
    <row r="66" spans="1:37" x14ac:dyDescent="0.25">
      <c r="A66" s="225" t="s">
        <v>182</v>
      </c>
      <c r="B66" s="226" t="s">
        <v>65</v>
      </c>
      <c r="C66" s="185">
        <v>65</v>
      </c>
      <c r="D66" s="130">
        <f>Table112348[[#This Row],[a (mm)]]/Table112348[[#This Row],[d (mm)]]</f>
        <v>2.8571428571428572</v>
      </c>
      <c r="E66" s="226">
        <v>355.84000000000003</v>
      </c>
      <c r="F66" s="127">
        <f>Table112348[[#This Row],[d (mm)]]</f>
        <v>666.75</v>
      </c>
      <c r="G66" s="132">
        <f t="shared" si="35"/>
        <v>677875.20000000007</v>
      </c>
      <c r="H66" s="132">
        <f t="shared" si="36"/>
        <v>1.2141825760698066E-6</v>
      </c>
      <c r="I66" s="132">
        <f>G66/(Table112348[[#This Row],[b (mm)]]*Z66^2)</f>
        <v>2.6681329250791536E-3</v>
      </c>
      <c r="J66" s="132">
        <f t="shared" si="37"/>
        <v>0.46047024113893564</v>
      </c>
      <c r="K66" s="132">
        <f t="shared" si="38"/>
        <v>2.4152670668584748E-7</v>
      </c>
      <c r="L66" s="132">
        <f>E66/(Table112348[[#This Row],[b (mm)]]*Z66)</f>
        <v>9.3384652377770372E-4</v>
      </c>
      <c r="M66" s="132">
        <f>Table112348[[#This Row],[M (KN.mm)]]/(Table112348[[#This Row],[b (mm)]]*Table112348[[#This Row],[d (mm)]])</f>
        <v>1.7789776277965257</v>
      </c>
      <c r="N66" s="132">
        <f>Table112348[[#This Row],[M (KN.mm)]]/(Table112348[[#This Row],[b (mm)]]*Table112348[[#This Row],[h (mm)]])</f>
        <v>1.553498427467026</v>
      </c>
      <c r="O66" s="145">
        <f>Table112348[[#This Row],[M (KN.mm)]]/(Table112348[[#This Row],[b (mm)]]*Table112348[[#This Row],[h (mm)]]*Table112348[[#This Row],[L(mm)]])</f>
        <v>4.0774236941391759E-4</v>
      </c>
      <c r="P66" s="145">
        <f>Table112348[[#This Row],[M (KN.mm)]]/(Table112348[[#This Row],[b (mm)]]*Table112348[[#This Row],[d (mm)]]*Table112348[[#This Row],[L(mm)]])</f>
        <v>4.6692326188885186E-4</v>
      </c>
      <c r="Q66" s="145">
        <f>Table112348[[#This Row],[M (KN.mm)]]/(Table112348[[#This Row],[b (mm)]]*Table112348[[#This Row],[h (mm)]]*Table112348[[#This Row],[L(mm)]]*Table112348[[#This Row],[fc (Mpa)]])</f>
        <v>1.3751850570452534E-5</v>
      </c>
      <c r="R66" s="145">
        <f>Table112348[[#This Row],[M (KN.mm)]]/(Table112348[[#This Row],[b (mm)]]*Table112348[[#This Row],[h (mm)]]*Table112348[[#This Row],[L(mm)]]/2)</f>
        <v>8.1548473882783518E-4</v>
      </c>
      <c r="S66" s="133">
        <f>Table112348[[#This Row],[M (KN.mm)]]/(Table112348[[#This Row],[a (mm)]]*Table112348[[#This Row],[b (mm)]]*Table112348[[#This Row],[h (mm)]]*Table112348[[#This Row],[L(mm)]]/2)</f>
        <v>4.2807597838731505E-7</v>
      </c>
      <c r="T66" s="110">
        <f>G66/($AK$5*AH66*0.001*Table112348[[#This Row],[pho (%)]])</f>
        <v>1.536939969708616E-6</v>
      </c>
      <c r="U66" s="133">
        <f>Table112348[[#This Row],[M (KN.mm)]]/(Table112348[[#This Row],[b (mm)]]*Table112348[[#This Row],[d (mm)]]*Table112348[[#This Row],[pho (%)]])</f>
        <v>2.2518704149323105</v>
      </c>
      <c r="V66" s="110">
        <f>E66*224.8/(2*SQRT(Table112348[[#This Row],[fc (Mpa)]]*145.037)*Table112348[[#This Row],[b (mm)]]*Table112348[[#This Row],[d (mm)]]*(1/25.4)^2)</f>
        <v>1.0326603402020031</v>
      </c>
      <c r="W66" s="145">
        <f>Table112348[[#This Row],[M (KN.mm)]]/$G$70</f>
        <v>0.59259259259259256</v>
      </c>
      <c r="X66" s="110">
        <f t="shared" ref="X66:X83" si="39">V66</f>
        <v>1.0326603402020031</v>
      </c>
      <c r="Y66" s="110">
        <f t="shared" si="30"/>
        <v>1905</v>
      </c>
      <c r="Z66" s="110">
        <f t="shared" si="31"/>
        <v>666.75</v>
      </c>
      <c r="AA66" s="110">
        <f t="shared" si="32"/>
        <v>763.52399999999989</v>
      </c>
      <c r="AB66" s="134">
        <f t="shared" si="33"/>
        <v>571.5</v>
      </c>
      <c r="AC66" s="7">
        <v>29.65</v>
      </c>
      <c r="AD66" s="110">
        <f>Table112348[[#This Row],[pho (%)]]/100*Table112348[[#This Row],[b (mm)]]*Table112348[[#This Row],[h (mm)]]</f>
        <v>3447.1963313999995</v>
      </c>
      <c r="AE66" s="135">
        <v>0.79</v>
      </c>
      <c r="AF66" s="110">
        <v>640.5</v>
      </c>
      <c r="AG66" s="132">
        <f>(1/3-0.21*(MIN(Table112348[[#This Row],[b (mm)]],AA66)/MAX(Table112348[[#This Row],[b (mm)]],AA66))*(MIN(Table112348[[#This Row],[b (mm)]],AA66)^4/(12*MAX(Table112348[[#This Row],[b (mm)]],AA66)^4)))*MAX(Table112348[[#This Row],[b (mm)]],AA66)*MIN(Table112348[[#This Row],[b (mm)]],AA66)^3</f>
        <v>46920211151.527954</v>
      </c>
      <c r="AH66" s="132">
        <f>Table112348[[#This Row],[b (mm)]]*AA66^3/12</f>
        <v>21198399245.690769</v>
      </c>
      <c r="AI66" s="132">
        <f t="shared" si="34"/>
        <v>3810</v>
      </c>
      <c r="AJ66" s="182"/>
      <c r="AK66" s="179"/>
    </row>
    <row r="67" spans="1:37" x14ac:dyDescent="0.25">
      <c r="A67" s="225" t="s">
        <v>182</v>
      </c>
      <c r="B67" s="226" t="s">
        <v>66</v>
      </c>
      <c r="C67" s="185">
        <v>66</v>
      </c>
      <c r="D67" s="130">
        <f>Table112348[[#This Row],[a (mm)]]/Table112348[[#This Row],[d (mm)]]</f>
        <v>2.8571428571428572</v>
      </c>
      <c r="E67" s="226">
        <v>400.32000000000005</v>
      </c>
      <c r="F67" s="127">
        <f>Table112348[[#This Row],[d (mm)]]</f>
        <v>666.75</v>
      </c>
      <c r="G67" s="132">
        <f t="shared" si="35"/>
        <v>762609.60000000009</v>
      </c>
      <c r="H67" s="132">
        <f t="shared" si="36"/>
        <v>1.3659553980785324E-6</v>
      </c>
      <c r="I67" s="132">
        <f>G67/(Table112348[[#This Row],[b (mm)]]*Z67^2)</f>
        <v>3.0016495407140477E-3</v>
      </c>
      <c r="J67" s="132">
        <f t="shared" si="37"/>
        <v>0.51802902128130268</v>
      </c>
      <c r="K67" s="132">
        <f t="shared" si="38"/>
        <v>2.7171754502157842E-7</v>
      </c>
      <c r="L67" s="132">
        <f>E67/(Table112348[[#This Row],[b (mm)]]*Z67)</f>
        <v>1.0505773392499168E-3</v>
      </c>
      <c r="M67" s="132">
        <f>Table112348[[#This Row],[M (KN.mm)]]/(Table112348[[#This Row],[b (mm)]]*Table112348[[#This Row],[d (mm)]])</f>
        <v>2.0013498312710913</v>
      </c>
      <c r="N67" s="132">
        <f>Table112348[[#This Row],[M (KN.mm)]]/(Table112348[[#This Row],[b (mm)]]*Table112348[[#This Row],[h (mm)]])</f>
        <v>1.7476857309004044</v>
      </c>
      <c r="O67" s="145">
        <f>Table112348[[#This Row],[M (KN.mm)]]/(Table112348[[#This Row],[b (mm)]]*Table112348[[#This Row],[h (mm)]]*Table112348[[#This Row],[L(mm)]])</f>
        <v>4.5871016559065732E-4</v>
      </c>
      <c r="P67" s="145">
        <f>Table112348[[#This Row],[M (KN.mm)]]/(Table112348[[#This Row],[b (mm)]]*Table112348[[#This Row],[d (mm)]]*Table112348[[#This Row],[L(mm)]])</f>
        <v>5.252886696249584E-4</v>
      </c>
      <c r="Q67" s="145">
        <f>Table112348[[#This Row],[M (KN.mm)]]/(Table112348[[#This Row],[b (mm)]]*Table112348[[#This Row],[h (mm)]]*Table112348[[#This Row],[L(mm)]]*Table112348[[#This Row],[fc (Mpa)]])</f>
        <v>1.5470831891759102E-5</v>
      </c>
      <c r="R67" s="145">
        <f>Table112348[[#This Row],[M (KN.mm)]]/(Table112348[[#This Row],[b (mm)]]*Table112348[[#This Row],[h (mm)]]*Table112348[[#This Row],[L(mm)]]/2)</f>
        <v>9.1742033118131464E-4</v>
      </c>
      <c r="S67" s="133">
        <f>Table112348[[#This Row],[M (KN.mm)]]/(Table112348[[#This Row],[a (mm)]]*Table112348[[#This Row],[b (mm)]]*Table112348[[#This Row],[h (mm)]]*Table112348[[#This Row],[L(mm)]]/2)</f>
        <v>4.815854756857294E-7</v>
      </c>
      <c r="T67" s="110">
        <f>G67/($AK$5*AH67*0.001*Table112348[[#This Row],[pho (%)]])</f>
        <v>1.729057465922193E-6</v>
      </c>
      <c r="U67" s="133">
        <f>Table112348[[#This Row],[M (KN.mm)]]/(Table112348[[#This Row],[b (mm)]]*Table112348[[#This Row],[d (mm)]]*Table112348[[#This Row],[pho (%)]])</f>
        <v>2.5333542167988496</v>
      </c>
      <c r="V67" s="110">
        <f>E67*224.8/(2*SQRT(Table112348[[#This Row],[fc (Mpa)]]*145.037)*Table112348[[#This Row],[b (mm)]]*Table112348[[#This Row],[d (mm)]]*(1/25.4)^2)</f>
        <v>1.1617428827272536</v>
      </c>
      <c r="W67" s="145">
        <f>Table112348[[#This Row],[M (KN.mm)]]/$G$70</f>
        <v>0.66666666666666663</v>
      </c>
      <c r="X67" s="110">
        <f t="shared" si="39"/>
        <v>1.1617428827272536</v>
      </c>
      <c r="Y67" s="110">
        <f t="shared" si="30"/>
        <v>1905</v>
      </c>
      <c r="Z67" s="110">
        <f t="shared" si="31"/>
        <v>666.75</v>
      </c>
      <c r="AA67" s="110">
        <f t="shared" si="32"/>
        <v>763.52399999999989</v>
      </c>
      <c r="AB67" s="134">
        <f t="shared" si="33"/>
        <v>571.5</v>
      </c>
      <c r="AC67" s="7">
        <v>29.65</v>
      </c>
      <c r="AD67" s="110">
        <f>Table112348[[#This Row],[pho (%)]]/100*Table112348[[#This Row],[b (mm)]]*Table112348[[#This Row],[h (mm)]]</f>
        <v>3447.1963313999995</v>
      </c>
      <c r="AE67" s="135">
        <v>0.79</v>
      </c>
      <c r="AF67" s="110">
        <v>640.5</v>
      </c>
      <c r="AG67" s="132">
        <f>(1/3-0.21*(MIN(Table112348[[#This Row],[b (mm)]],AA67)/MAX(Table112348[[#This Row],[b (mm)]],AA67))*(MIN(Table112348[[#This Row],[b (mm)]],AA67)^4/(12*MAX(Table112348[[#This Row],[b (mm)]],AA67)^4)))*MAX(Table112348[[#This Row],[b (mm)]],AA67)*MIN(Table112348[[#This Row],[b (mm)]],AA67)^3</f>
        <v>46920211151.527954</v>
      </c>
      <c r="AH67" s="132">
        <f>Table112348[[#This Row],[b (mm)]]*AA67^3/12</f>
        <v>21198399245.690769</v>
      </c>
      <c r="AI67" s="132">
        <f t="shared" si="34"/>
        <v>3810</v>
      </c>
      <c r="AJ67" s="182"/>
      <c r="AK67" s="179"/>
    </row>
    <row r="68" spans="1:37" x14ac:dyDescent="0.25">
      <c r="A68" s="225" t="s">
        <v>182</v>
      </c>
      <c r="B68" s="226" t="s">
        <v>67</v>
      </c>
      <c r="C68" s="185">
        <v>67</v>
      </c>
      <c r="D68" s="130">
        <f>Table112348[[#This Row],[a (mm)]]/Table112348[[#This Row],[d (mm)]]</f>
        <v>2.8571428571428572</v>
      </c>
      <c r="E68" s="226">
        <v>444.80000000000007</v>
      </c>
      <c r="F68" s="127">
        <f>Table112348[[#This Row],[d (mm)]]</f>
        <v>666.75</v>
      </c>
      <c r="G68" s="132">
        <f t="shared" si="35"/>
        <v>847344.00000000012</v>
      </c>
      <c r="H68" s="132">
        <f t="shared" si="36"/>
        <v>1.5177282200872583E-6</v>
      </c>
      <c r="I68" s="132">
        <f>G68/(Table112348[[#This Row],[b (mm)]]*Z68^2)</f>
        <v>3.3351661563489421E-3</v>
      </c>
      <c r="J68" s="132">
        <f t="shared" si="37"/>
        <v>0.57558780142366961</v>
      </c>
      <c r="K68" s="132">
        <f t="shared" si="38"/>
        <v>3.0190838335730935E-7</v>
      </c>
      <c r="L68" s="132">
        <f>E68/(Table112348[[#This Row],[b (mm)]]*Z68)</f>
        <v>1.1673081547221298E-3</v>
      </c>
      <c r="M68" s="132">
        <f>Table112348[[#This Row],[M (KN.mm)]]/(Table112348[[#This Row],[b (mm)]]*Table112348[[#This Row],[d (mm)]])</f>
        <v>2.223722034745657</v>
      </c>
      <c r="N68" s="132">
        <f>Table112348[[#This Row],[M (KN.mm)]]/(Table112348[[#This Row],[b (mm)]]*Table112348[[#This Row],[h (mm)]])</f>
        <v>1.9418730343337827</v>
      </c>
      <c r="O68" s="145">
        <f>Table112348[[#This Row],[M (KN.mm)]]/(Table112348[[#This Row],[b (mm)]]*Table112348[[#This Row],[h (mm)]]*Table112348[[#This Row],[L(mm)]])</f>
        <v>5.09677961767397E-4</v>
      </c>
      <c r="P68" s="145">
        <f>Table112348[[#This Row],[M (KN.mm)]]/(Table112348[[#This Row],[b (mm)]]*Table112348[[#This Row],[d (mm)]]*Table112348[[#This Row],[L(mm)]])</f>
        <v>5.8365407736106489E-4</v>
      </c>
      <c r="Q68" s="145">
        <f>Table112348[[#This Row],[M (KN.mm)]]/(Table112348[[#This Row],[b (mm)]]*Table112348[[#This Row],[h (mm)]]*Table112348[[#This Row],[L(mm)]]*Table112348[[#This Row],[fc (Mpa)]])</f>
        <v>1.7189813213065668E-5</v>
      </c>
      <c r="R68" s="145">
        <f>Table112348[[#This Row],[M (KN.mm)]]/(Table112348[[#This Row],[b (mm)]]*Table112348[[#This Row],[h (mm)]]*Table112348[[#This Row],[L(mm)]]/2)</f>
        <v>1.019355923534794E-3</v>
      </c>
      <c r="S68" s="133">
        <f>Table112348[[#This Row],[M (KN.mm)]]/(Table112348[[#This Row],[a (mm)]]*Table112348[[#This Row],[b (mm)]]*Table112348[[#This Row],[h (mm)]]*Table112348[[#This Row],[L(mm)]]/2)</f>
        <v>5.350949729841438E-7</v>
      </c>
      <c r="T68" s="110">
        <f>G68/($AK$5*AH68*0.001*Table112348[[#This Row],[pho (%)]])</f>
        <v>1.92117496213577E-6</v>
      </c>
      <c r="U68" s="133">
        <f>Table112348[[#This Row],[M (KN.mm)]]/(Table112348[[#This Row],[b (mm)]]*Table112348[[#This Row],[d (mm)]]*Table112348[[#This Row],[pho (%)]])</f>
        <v>2.8148380186653883</v>
      </c>
      <c r="V68" s="110">
        <f>E68*224.8/(2*SQRT(Table112348[[#This Row],[fc (Mpa)]]*145.037)*Table112348[[#This Row],[b (mm)]]*Table112348[[#This Row],[d (mm)]]*(1/25.4)^2)</f>
        <v>1.2908254252525042</v>
      </c>
      <c r="W68" s="145">
        <f>Table112348[[#This Row],[M (KN.mm)]]/$G$70</f>
        <v>0.7407407407407407</v>
      </c>
      <c r="X68" s="110">
        <f t="shared" si="39"/>
        <v>1.2908254252525042</v>
      </c>
      <c r="Y68" s="110">
        <f t="shared" si="30"/>
        <v>1905</v>
      </c>
      <c r="Z68" s="110">
        <f t="shared" si="31"/>
        <v>666.75</v>
      </c>
      <c r="AA68" s="110">
        <f t="shared" si="32"/>
        <v>763.52399999999989</v>
      </c>
      <c r="AB68" s="134">
        <f t="shared" si="33"/>
        <v>571.5</v>
      </c>
      <c r="AC68" s="7">
        <v>29.65</v>
      </c>
      <c r="AD68" s="110">
        <f>Table112348[[#This Row],[pho (%)]]/100*Table112348[[#This Row],[b (mm)]]*Table112348[[#This Row],[h (mm)]]</f>
        <v>3447.1963313999995</v>
      </c>
      <c r="AE68" s="135">
        <v>0.79</v>
      </c>
      <c r="AF68" s="110">
        <v>640.5</v>
      </c>
      <c r="AG68" s="132">
        <f>(1/3-0.21*(MIN(Table112348[[#This Row],[b (mm)]],AA68)/MAX(Table112348[[#This Row],[b (mm)]],AA68))*(MIN(Table112348[[#This Row],[b (mm)]],AA68)^4/(12*MAX(Table112348[[#This Row],[b (mm)]],AA68)^4)))*MAX(Table112348[[#This Row],[b (mm)]],AA68)*MIN(Table112348[[#This Row],[b (mm)]],AA68)^3</f>
        <v>46920211151.527954</v>
      </c>
      <c r="AH68" s="132">
        <f>Table112348[[#This Row],[b (mm)]]*AA68^3/12</f>
        <v>21198399245.690769</v>
      </c>
      <c r="AI68" s="132">
        <f t="shared" si="34"/>
        <v>3810</v>
      </c>
      <c r="AJ68" s="182"/>
      <c r="AK68" s="179"/>
    </row>
    <row r="69" spans="1:37" x14ac:dyDescent="0.25">
      <c r="A69" s="225" t="s">
        <v>182</v>
      </c>
      <c r="B69" s="226" t="s">
        <v>68</v>
      </c>
      <c r="C69" s="185">
        <v>68</v>
      </c>
      <c r="D69" s="130">
        <f>Table112348[[#This Row],[a (mm)]]/Table112348[[#This Row],[d (mm)]]</f>
        <v>2.8571428571428572</v>
      </c>
      <c r="E69" s="226">
        <v>489.28000000000003</v>
      </c>
      <c r="F69" s="127">
        <f>Table112348[[#This Row],[d (mm)]]</f>
        <v>666.75</v>
      </c>
      <c r="G69" s="132">
        <f t="shared" si="35"/>
        <v>932078.4</v>
      </c>
      <c r="H69" s="132">
        <f t="shared" si="36"/>
        <v>1.6695010420959839E-6</v>
      </c>
      <c r="I69" s="132">
        <f>G69/(Table112348[[#This Row],[b (mm)]]*Z69^2)</f>
        <v>3.6686827719838357E-3</v>
      </c>
      <c r="J69" s="132">
        <f t="shared" si="37"/>
        <v>0.63314658156603654</v>
      </c>
      <c r="K69" s="132">
        <f t="shared" si="38"/>
        <v>3.3209922169304024E-7</v>
      </c>
      <c r="L69" s="132">
        <f>E69/(Table112348[[#This Row],[b (mm)]]*Z69)</f>
        <v>1.2840389701943425E-3</v>
      </c>
      <c r="M69" s="132">
        <f>Table112348[[#This Row],[M (KN.mm)]]/(Table112348[[#This Row],[b (mm)]]*Table112348[[#This Row],[d (mm)]])</f>
        <v>2.4460942382202226</v>
      </c>
      <c r="N69" s="132">
        <f>Table112348[[#This Row],[M (KN.mm)]]/(Table112348[[#This Row],[b (mm)]]*Table112348[[#This Row],[h (mm)]])</f>
        <v>2.1360603377671605</v>
      </c>
      <c r="O69" s="145">
        <f>Table112348[[#This Row],[M (KN.mm)]]/(Table112348[[#This Row],[b (mm)]]*Table112348[[#This Row],[h (mm)]]*Table112348[[#This Row],[L(mm)]])</f>
        <v>5.6064575794413662E-4</v>
      </c>
      <c r="P69" s="145">
        <f>Table112348[[#This Row],[M (KN.mm)]]/(Table112348[[#This Row],[b (mm)]]*Table112348[[#This Row],[d (mm)]]*Table112348[[#This Row],[L(mm)]])</f>
        <v>6.4201948509717127E-4</v>
      </c>
      <c r="Q69" s="145">
        <f>Table112348[[#This Row],[M (KN.mm)]]/(Table112348[[#This Row],[b (mm)]]*Table112348[[#This Row],[h (mm)]]*Table112348[[#This Row],[L(mm)]]*Table112348[[#This Row],[fc (Mpa)]])</f>
        <v>1.890879453437223E-5</v>
      </c>
      <c r="R69" s="145">
        <f>Table112348[[#This Row],[M (KN.mm)]]/(Table112348[[#This Row],[b (mm)]]*Table112348[[#This Row],[h (mm)]]*Table112348[[#This Row],[L(mm)]]/2)</f>
        <v>1.1212915158882732E-3</v>
      </c>
      <c r="S69" s="133">
        <f>Table112348[[#This Row],[M (KN.mm)]]/(Table112348[[#This Row],[a (mm)]]*Table112348[[#This Row],[b (mm)]]*Table112348[[#This Row],[h (mm)]]*Table112348[[#This Row],[L(mm)]]/2)</f>
        <v>5.886044702825581E-7</v>
      </c>
      <c r="T69" s="110">
        <f>G69/($AK$5*AH69*0.001*Table112348[[#This Row],[pho (%)]])</f>
        <v>2.1132924583493466E-6</v>
      </c>
      <c r="U69" s="133">
        <f>Table112348[[#This Row],[M (KN.mm)]]/(Table112348[[#This Row],[b (mm)]]*Table112348[[#This Row],[d (mm)]]*Table112348[[#This Row],[pho (%)]])</f>
        <v>3.0963218205319269</v>
      </c>
      <c r="V69" s="110">
        <f>E69*224.8/(2*SQRT(Table112348[[#This Row],[fc (Mpa)]]*145.037)*Table112348[[#This Row],[b (mm)]]*Table112348[[#This Row],[d (mm)]]*(1/25.4)^2)</f>
        <v>1.4199079677777544</v>
      </c>
      <c r="W69" s="145">
        <f>Table112348[[#This Row],[M (KN.mm)]]/$G$70</f>
        <v>0.81481481481481477</v>
      </c>
      <c r="X69" s="110">
        <f t="shared" si="39"/>
        <v>1.4199079677777544</v>
      </c>
      <c r="Y69" s="110">
        <f t="shared" si="30"/>
        <v>1905</v>
      </c>
      <c r="Z69" s="110">
        <f t="shared" si="31"/>
        <v>666.75</v>
      </c>
      <c r="AA69" s="110">
        <f t="shared" si="32"/>
        <v>763.52399999999989</v>
      </c>
      <c r="AB69" s="134">
        <f t="shared" si="33"/>
        <v>571.5</v>
      </c>
      <c r="AC69" s="7">
        <v>29.65</v>
      </c>
      <c r="AD69" s="110">
        <f>Table112348[[#This Row],[pho (%)]]/100*Table112348[[#This Row],[b (mm)]]*Table112348[[#This Row],[h (mm)]]</f>
        <v>3447.1963313999995</v>
      </c>
      <c r="AE69" s="135">
        <v>0.79</v>
      </c>
      <c r="AF69" s="110">
        <v>640.5</v>
      </c>
      <c r="AG69" s="132">
        <f>(1/3-0.21*(MIN(Table112348[[#This Row],[b (mm)]],AA69)/MAX(Table112348[[#This Row],[b (mm)]],AA69))*(MIN(Table112348[[#This Row],[b (mm)]],AA69)^4/(12*MAX(Table112348[[#This Row],[b (mm)]],AA69)^4)))*MAX(Table112348[[#This Row],[b (mm)]],AA69)*MIN(Table112348[[#This Row],[b (mm)]],AA69)^3</f>
        <v>46920211151.527954</v>
      </c>
      <c r="AH69" s="132">
        <f>Table112348[[#This Row],[b (mm)]]*AA69^3/12</f>
        <v>21198399245.690769</v>
      </c>
      <c r="AI69" s="132">
        <f t="shared" si="34"/>
        <v>3810</v>
      </c>
      <c r="AJ69" s="182"/>
      <c r="AK69" s="179"/>
    </row>
    <row r="70" spans="1:37" x14ac:dyDescent="0.25">
      <c r="A70" s="225" t="s">
        <v>182</v>
      </c>
      <c r="B70" s="226" t="s">
        <v>174</v>
      </c>
      <c r="C70" s="185">
        <v>69</v>
      </c>
      <c r="D70" s="130">
        <f>Table112348[[#This Row],[a (mm)]]/Table112348[[#This Row],[d (mm)]]</f>
        <v>2.8571428571428572</v>
      </c>
      <c r="E70" s="226">
        <v>600.48</v>
      </c>
      <c r="F70" s="127">
        <f>Table112348[[#This Row],[d (mm)]]</f>
        <v>666.75</v>
      </c>
      <c r="G70" s="132">
        <f t="shared" si="35"/>
        <v>1143914.4000000001</v>
      </c>
      <c r="H70" s="132">
        <f t="shared" si="36"/>
        <v>2.0489330971177986E-6</v>
      </c>
      <c r="I70" s="132">
        <f>G70/(Table112348[[#This Row],[b (mm)]]*Z70^2)</f>
        <v>4.5024743110710719E-3</v>
      </c>
      <c r="J70" s="132">
        <f t="shared" si="37"/>
        <v>0.77704353192195397</v>
      </c>
      <c r="K70" s="132">
        <f t="shared" si="38"/>
        <v>4.075763175323676E-7</v>
      </c>
      <c r="L70" s="132">
        <f>E70/(Table112348[[#This Row],[b (mm)]]*Z70)</f>
        <v>1.575866008874875E-3</v>
      </c>
      <c r="M70" s="132">
        <f>Table112348[[#This Row],[M (KN.mm)]]/(Table112348[[#This Row],[b (mm)]]*Table112348[[#This Row],[d (mm)]])</f>
        <v>3.002024746906637</v>
      </c>
      <c r="N70" s="132">
        <f>Table112348[[#This Row],[M (KN.mm)]]/(Table112348[[#This Row],[b (mm)]]*Table112348[[#This Row],[h (mm)]])</f>
        <v>2.6215285963506063</v>
      </c>
      <c r="O70" s="145">
        <f>Table112348[[#This Row],[M (KN.mm)]]/(Table112348[[#This Row],[b (mm)]]*Table112348[[#This Row],[h (mm)]]*Table112348[[#This Row],[L(mm)]])</f>
        <v>6.8806524838598601E-4</v>
      </c>
      <c r="P70" s="145">
        <f>Table112348[[#This Row],[M (KN.mm)]]/(Table112348[[#This Row],[b (mm)]]*Table112348[[#This Row],[d (mm)]]*Table112348[[#This Row],[L(mm)]])</f>
        <v>7.879330044374375E-4</v>
      </c>
      <c r="Q70" s="145">
        <f>Table112348[[#This Row],[M (KN.mm)]]/(Table112348[[#This Row],[b (mm)]]*Table112348[[#This Row],[h (mm)]]*Table112348[[#This Row],[L(mm)]]*Table112348[[#This Row],[fc (Mpa)]])</f>
        <v>2.3206247837638651E-5</v>
      </c>
      <c r="R70" s="145">
        <f>Table112348[[#This Row],[M (KN.mm)]]/(Table112348[[#This Row],[b (mm)]]*Table112348[[#This Row],[h (mm)]]*Table112348[[#This Row],[L(mm)]]/2)</f>
        <v>1.376130496771972E-3</v>
      </c>
      <c r="S70" s="133">
        <f>Table112348[[#This Row],[M (KN.mm)]]/(Table112348[[#This Row],[a (mm)]]*Table112348[[#This Row],[b (mm)]]*Table112348[[#This Row],[h (mm)]]*Table112348[[#This Row],[L(mm)]]/2)</f>
        <v>7.223782135285941E-7</v>
      </c>
      <c r="T70" s="110">
        <f>G70/($AK$5*AH70*0.001*Table112348[[#This Row],[pho (%)]])</f>
        <v>2.5935861988832895E-6</v>
      </c>
      <c r="U70" s="133">
        <f>Table112348[[#This Row],[M (KN.mm)]]/(Table112348[[#This Row],[b (mm)]]*Table112348[[#This Row],[d (mm)]]*Table112348[[#This Row],[pho (%)]])</f>
        <v>3.8000313251982742</v>
      </c>
      <c r="V70" s="110">
        <f>E70*224.8/(2*SQRT(Table112348[[#This Row],[fc (Mpa)]]*145.037)*Table112348[[#This Row],[b (mm)]]*Table112348[[#This Row],[d (mm)]]*(1/25.4)^2)</f>
        <v>1.7426143240908802</v>
      </c>
      <c r="W70" s="145">
        <f>Table112348[[#This Row],[M (KN.mm)]]/$G$70</f>
        <v>1</v>
      </c>
      <c r="X70" s="110">
        <f t="shared" si="39"/>
        <v>1.7426143240908802</v>
      </c>
      <c r="Y70" s="110">
        <f t="shared" si="30"/>
        <v>1905</v>
      </c>
      <c r="Z70" s="110">
        <f t="shared" si="31"/>
        <v>666.75</v>
      </c>
      <c r="AA70" s="110">
        <f t="shared" si="32"/>
        <v>763.52399999999989</v>
      </c>
      <c r="AB70" s="134">
        <f t="shared" si="33"/>
        <v>571.5</v>
      </c>
      <c r="AC70" s="7">
        <v>29.65</v>
      </c>
      <c r="AD70" s="110">
        <f>Table112348[[#This Row],[pho (%)]]/100*Table112348[[#This Row],[b (mm)]]*Table112348[[#This Row],[h (mm)]]</f>
        <v>3447.1963313999995</v>
      </c>
      <c r="AE70" s="135">
        <v>0.79</v>
      </c>
      <c r="AF70" s="110">
        <v>640.5</v>
      </c>
      <c r="AG70" s="132">
        <f>(1/3-0.21*(MIN(Table112348[[#This Row],[b (mm)]],AA70)/MAX(Table112348[[#This Row],[b (mm)]],AA70))*(MIN(Table112348[[#This Row],[b (mm)]],AA70)^4/(12*MAX(Table112348[[#This Row],[b (mm)]],AA70)^4)))*MAX(Table112348[[#This Row],[b (mm)]],AA70)*MIN(Table112348[[#This Row],[b (mm)]],AA70)^3</f>
        <v>46920211151.527954</v>
      </c>
      <c r="AH70" s="132">
        <f>Table112348[[#This Row],[b (mm)]]*AA70^3/12</f>
        <v>21198399245.690769</v>
      </c>
      <c r="AI70" s="132">
        <f t="shared" si="34"/>
        <v>3810</v>
      </c>
      <c r="AJ70" s="182"/>
      <c r="AK70" s="179"/>
    </row>
    <row r="71" spans="1:37" x14ac:dyDescent="0.25">
      <c r="A71" s="227" t="s">
        <v>183</v>
      </c>
      <c r="B71" s="228" t="s">
        <v>60</v>
      </c>
      <c r="C71" s="186">
        <v>70</v>
      </c>
      <c r="D71" s="130">
        <f>Table112348[[#This Row],[a (mm)]]/Table112348[[#This Row],[d (mm)]]</f>
        <v>2.8571428571428572</v>
      </c>
      <c r="E71" s="228">
        <v>53.376000000000005</v>
      </c>
      <c r="F71" s="127">
        <f>Table112348[[#This Row],[d (mm)]]</f>
        <v>266.7</v>
      </c>
      <c r="G71" s="132">
        <f t="shared" si="35"/>
        <v>40672.512000000002</v>
      </c>
      <c r="H71" s="132">
        <f t="shared" si="36"/>
        <v>2.7568380484777867E-6</v>
      </c>
      <c r="I71" s="132">
        <f>G71/(Table112348[[#This Row],[b (mm)]]*Z71^2)</f>
        <v>2.4848092224454038E-3</v>
      </c>
      <c r="J71" s="132">
        <f t="shared" si="37"/>
        <v>0.34281150782358738</v>
      </c>
      <c r="K71" s="132">
        <f t="shared" si="38"/>
        <v>1.3755619702092975E-6</v>
      </c>
      <c r="L71" s="132">
        <f>E71/(Table112348[[#This Row],[b (mm)]]*Z71)</f>
        <v>8.6968322785589138E-4</v>
      </c>
      <c r="M71" s="132">
        <f>Table112348[[#This Row],[M (KN.mm)]]/(Table112348[[#This Row],[b (mm)]]*Table112348[[#This Row],[d (mm)]])</f>
        <v>0.66269861962618926</v>
      </c>
      <c r="N71" s="132">
        <f>Table112348[[#This Row],[M (KN.mm)]]/(Table112348[[#This Row],[b (mm)]]*Table112348[[#This Row],[h (mm)]])</f>
        <v>0.57388334070721536</v>
      </c>
      <c r="O71" s="145">
        <f>Table112348[[#This Row],[M (KN.mm)]]/(Table112348[[#This Row],[b (mm)]]*Table112348[[#This Row],[h (mm)]]*Table112348[[#This Row],[L(mm)]])</f>
        <v>3.7656387185512819E-4</v>
      </c>
      <c r="P71" s="145">
        <f>Table112348[[#This Row],[M (KN.mm)]]/(Table112348[[#This Row],[b (mm)]]*Table112348[[#This Row],[d (mm)]]*Table112348[[#This Row],[L(mm)]])</f>
        <v>4.3484161392794569E-4</v>
      </c>
      <c r="Q71" s="145">
        <f>Table112348[[#This Row],[M (KN.mm)]]/(Table112348[[#This Row],[b (mm)]]*Table112348[[#This Row],[h (mm)]]*Table112348[[#This Row],[L(mm)]]*Table112348[[#This Row],[fc (Mpa)]])</f>
        <v>1.1140942954293734E-5</v>
      </c>
      <c r="R71" s="145">
        <f>Table112348[[#This Row],[M (KN.mm)]]/(Table112348[[#This Row],[b (mm)]]*Table112348[[#This Row],[h (mm)]]*Table112348[[#This Row],[L(mm)]]/2)</f>
        <v>7.5312774371025638E-4</v>
      </c>
      <c r="S71" s="133">
        <f>Table112348[[#This Row],[M (KN.mm)]]/(Table112348[[#This Row],[a (mm)]]*Table112348[[#This Row],[b (mm)]]*Table112348[[#This Row],[h (mm)]]*Table112348[[#This Row],[L(mm)]]/2)</f>
        <v>9.8835661904233133E-7</v>
      </c>
      <c r="T71" s="110">
        <f>G71/($AK$5*AH71*0.001*Table112348[[#This Row],[pho (%)]])</f>
        <v>2.8131000494671292E-6</v>
      </c>
      <c r="U71" s="133">
        <f>Table112348[[#This Row],[M (KN.mm)]]/(Table112348[[#This Row],[b (mm)]]*Table112348[[#This Row],[d (mm)]]*Table112348[[#This Row],[pho (%)]])</f>
        <v>0.67622308125121355</v>
      </c>
      <c r="V71" s="110">
        <f>E71*224.8/(2*SQRT(Table112348[[#This Row],[fc (Mpa)]]*145.037)*Table112348[[#This Row],[b (mm)]]*Table112348[[#This Row],[d (mm)]]*(1/25.4)^2)</f>
        <v>0.90073509626447679</v>
      </c>
      <c r="W71" s="145">
        <f>Table112348[[#This Row],[M (KN.mm)]]/$G$76</f>
        <v>0.44444444444444448</v>
      </c>
      <c r="X71" s="110">
        <f t="shared" si="39"/>
        <v>0.90073509626447679</v>
      </c>
      <c r="Y71" s="110">
        <f>30*25.4</f>
        <v>762</v>
      </c>
      <c r="Z71" s="110">
        <f>10.5*25.4</f>
        <v>266.7</v>
      </c>
      <c r="AA71" s="132">
        <f>12.125*25.4</f>
        <v>307.97499999999997</v>
      </c>
      <c r="AB71" s="134">
        <f>9.06*25.4</f>
        <v>230.124</v>
      </c>
      <c r="AC71" s="7">
        <v>33.799999999999997</v>
      </c>
      <c r="AD71" s="132">
        <f>Table112348[[#This Row],[pho (%)]]/100*Table112348[[#This Row],[b (mm)]]*Table112348[[#This Row],[h (mm)]]</f>
        <v>694.54990121999992</v>
      </c>
      <c r="AE71" s="135">
        <v>0.98</v>
      </c>
      <c r="AF71" s="110">
        <v>640.5</v>
      </c>
      <c r="AG71" s="132">
        <f>(1/3-0.21*(MIN(Table112348[[#This Row],[b (mm)]],AA71)/MAX(Table112348[[#This Row],[b (mm)]],AA71))*(MIN(Table112348[[#This Row],[b (mm)]],AA71)^4/(12*MAX(Table112348[[#This Row],[b (mm)]],AA71)^4)))*MAX(Table112348[[#This Row],[b (mm)]],AA71)*MIN(Table112348[[#This Row],[b (mm)]],AA71)^3</f>
        <v>1235765925.6938643</v>
      </c>
      <c r="AH71" s="132">
        <f>Table112348[[#This Row],[b (mm)]]*AA71^3/12</f>
        <v>560179304.37881768</v>
      </c>
      <c r="AI71" s="132">
        <f>762*2</f>
        <v>1524</v>
      </c>
      <c r="AJ71" s="182"/>
      <c r="AK71" s="179"/>
    </row>
    <row r="72" spans="1:37" ht="11.25" customHeight="1" x14ac:dyDescent="0.25">
      <c r="A72" s="227" t="s">
        <v>183</v>
      </c>
      <c r="B72" s="228" t="s">
        <v>61</v>
      </c>
      <c r="C72" s="186">
        <v>71</v>
      </c>
      <c r="D72" s="130">
        <f>Table112348[[#This Row],[a (mm)]]/Table112348[[#This Row],[d (mm)]]</f>
        <v>2.8571428571428572</v>
      </c>
      <c r="E72" s="228">
        <v>66.72</v>
      </c>
      <c r="F72" s="127">
        <f>Table112348[[#This Row],[d (mm)]]</f>
        <v>266.7</v>
      </c>
      <c r="G72" s="132">
        <f t="shared" si="35"/>
        <v>50840.639999999999</v>
      </c>
      <c r="H72" s="132">
        <f t="shared" si="36"/>
        <v>3.446047560597233E-6</v>
      </c>
      <c r="I72" s="132">
        <f>G72/(Table112348[[#This Row],[b (mm)]]*Z72^2)</f>
        <v>3.1060115280567547E-3</v>
      </c>
      <c r="J72" s="132">
        <f t="shared" si="37"/>
        <v>0.42851438477948417</v>
      </c>
      <c r="K72" s="132">
        <f t="shared" si="38"/>
        <v>1.7194524627616217E-6</v>
      </c>
      <c r="L72" s="132">
        <f>E72/(Table112348[[#This Row],[b (mm)]]*Z72)</f>
        <v>1.0871040348198642E-3</v>
      </c>
      <c r="M72" s="132">
        <f>Table112348[[#This Row],[M (KN.mm)]]/(Table112348[[#This Row],[b (mm)]]*Table112348[[#This Row],[d (mm)]])</f>
        <v>0.82837327453273646</v>
      </c>
      <c r="N72" s="132">
        <f>Table112348[[#This Row],[M (KN.mm)]]/(Table112348[[#This Row],[b (mm)]]*Table112348[[#This Row],[h (mm)]])</f>
        <v>0.71735417588401917</v>
      </c>
      <c r="O72" s="145">
        <f>Table112348[[#This Row],[M (KN.mm)]]/(Table112348[[#This Row],[b (mm)]]*Table112348[[#This Row],[h (mm)]]*Table112348[[#This Row],[L(mm)]])</f>
        <v>4.7070483981891023E-4</v>
      </c>
      <c r="P72" s="145">
        <f>Table112348[[#This Row],[M (KN.mm)]]/(Table112348[[#This Row],[b (mm)]]*Table112348[[#This Row],[d (mm)]]*Table112348[[#This Row],[L(mm)]])</f>
        <v>5.435520174099321E-4</v>
      </c>
      <c r="Q72" s="145">
        <f>Table112348[[#This Row],[M (KN.mm)]]/(Table112348[[#This Row],[b (mm)]]*Table112348[[#This Row],[h (mm)]]*Table112348[[#This Row],[L(mm)]]*Table112348[[#This Row],[fc (Mpa)]])</f>
        <v>1.3926178692867168E-5</v>
      </c>
      <c r="R72" s="145">
        <f>Table112348[[#This Row],[M (KN.mm)]]/(Table112348[[#This Row],[b (mm)]]*Table112348[[#This Row],[h (mm)]]*Table112348[[#This Row],[L(mm)]]/2)</f>
        <v>9.4140967963782045E-4</v>
      </c>
      <c r="S72" s="133">
        <f>Table112348[[#This Row],[M (KN.mm)]]/(Table112348[[#This Row],[a (mm)]]*Table112348[[#This Row],[b (mm)]]*Table112348[[#This Row],[h (mm)]]*Table112348[[#This Row],[L(mm)]]/2)</f>
        <v>1.2354457738029139E-6</v>
      </c>
      <c r="T72" s="110">
        <f>G72/($AK$5*AH72*0.001*Table112348[[#This Row],[pho (%)]])</f>
        <v>3.5163750618339111E-6</v>
      </c>
      <c r="U72" s="133">
        <f>Table112348[[#This Row],[M (KN.mm)]]/(Table112348[[#This Row],[b (mm)]]*Table112348[[#This Row],[d (mm)]]*Table112348[[#This Row],[pho (%)]])</f>
        <v>0.84527885156401683</v>
      </c>
      <c r="V72" s="110">
        <f>E72*224.8/(2*SQRT(Table112348[[#This Row],[fc (Mpa)]]*145.037)*Table112348[[#This Row],[b (mm)]]*Table112348[[#This Row],[d (mm)]]*(1/25.4)^2)</f>
        <v>1.1259188703305958</v>
      </c>
      <c r="W72" s="145">
        <f>Table112348[[#This Row],[M (KN.mm)]]/$G$76</f>
        <v>0.55555555555555558</v>
      </c>
      <c r="X72" s="110">
        <f t="shared" si="39"/>
        <v>1.1259188703305958</v>
      </c>
      <c r="Y72" s="110">
        <f t="shared" ref="Y72:Y83" si="40">30*25.4</f>
        <v>762</v>
      </c>
      <c r="Z72" s="110">
        <f t="shared" ref="Z72:Z83" si="41">10.5*25.4</f>
        <v>266.7</v>
      </c>
      <c r="AA72" s="132">
        <f t="shared" ref="AA72:AA83" si="42">12.125*25.4</f>
        <v>307.97499999999997</v>
      </c>
      <c r="AB72" s="134">
        <f t="shared" ref="AB72:AB83" si="43">9.06*25.4</f>
        <v>230.124</v>
      </c>
      <c r="AC72" s="7">
        <v>33.799999999999997</v>
      </c>
      <c r="AD72" s="132">
        <f>Table112348[[#This Row],[pho (%)]]/100*Table112348[[#This Row],[b (mm)]]*Table112348[[#This Row],[h (mm)]]</f>
        <v>694.54990121999992</v>
      </c>
      <c r="AE72" s="135">
        <v>0.98</v>
      </c>
      <c r="AF72" s="110">
        <v>640.5</v>
      </c>
      <c r="AG72" s="132">
        <f>(1/3-0.21*(MIN(Table112348[[#This Row],[b (mm)]],AA72)/MAX(Table112348[[#This Row],[b (mm)]],AA72))*(MIN(Table112348[[#This Row],[b (mm)]],AA72)^4/(12*MAX(Table112348[[#This Row],[b (mm)]],AA72)^4)))*MAX(Table112348[[#This Row],[b (mm)]],AA72)*MIN(Table112348[[#This Row],[b (mm)]],AA72)^3</f>
        <v>1235765925.6938643</v>
      </c>
      <c r="AH72" s="132">
        <f>Table112348[[#This Row],[b (mm)]]*AA72^3/12</f>
        <v>560179304.37881768</v>
      </c>
      <c r="AI72" s="132">
        <f t="shared" ref="AI72:AI83" si="44">762*2</f>
        <v>1524</v>
      </c>
      <c r="AJ72" s="182"/>
      <c r="AK72" s="179"/>
    </row>
    <row r="73" spans="1:37" hidden="1" x14ac:dyDescent="0.25">
      <c r="A73" s="227" t="s">
        <v>184</v>
      </c>
      <c r="B73" s="228" t="s">
        <v>62</v>
      </c>
      <c r="C73" s="186">
        <v>72</v>
      </c>
      <c r="D73" s="130">
        <f>Table112348[[#This Row],[a (mm)]]/Table112348[[#This Row],[d (mm)]]</f>
        <v>2.8571428571428572</v>
      </c>
      <c r="E73" s="228">
        <v>80.064000000000007</v>
      </c>
      <c r="F73" s="127">
        <f>Table112348[[#This Row],[d (mm)]]</f>
        <v>266.7</v>
      </c>
      <c r="G73" s="132">
        <f t="shared" si="35"/>
        <v>61008.768000000004</v>
      </c>
      <c r="H73" s="132">
        <f t="shared" si="36"/>
        <v>4.1352570727166798E-6</v>
      </c>
      <c r="I73" s="132">
        <f>G73/(Table112348[[#This Row],[b (mm)]]*Z73^2)</f>
        <v>3.7272138336681055E-3</v>
      </c>
      <c r="J73" s="132">
        <f t="shared" si="37"/>
        <v>0.51421726173538107</v>
      </c>
      <c r="K73" s="132">
        <f t="shared" si="38"/>
        <v>2.0633429553139463E-6</v>
      </c>
      <c r="L73" s="132">
        <f>E73/(Table112348[[#This Row],[b (mm)]]*Z73)</f>
        <v>1.3045248417838371E-3</v>
      </c>
      <c r="M73" s="132">
        <f>Table112348[[#This Row],[M (KN.mm)]]/(Table112348[[#This Row],[b (mm)]]*Table112348[[#This Row],[d (mm)]])</f>
        <v>0.99404792943928377</v>
      </c>
      <c r="N73" s="132">
        <f>Table112348[[#This Row],[M (KN.mm)]]/(Table112348[[#This Row],[b (mm)]]*Table112348[[#This Row],[h (mm)]])</f>
        <v>0.8608250110608231</v>
      </c>
      <c r="O73" s="145">
        <f>Table112348[[#This Row],[M (KN.mm)]]/(Table112348[[#This Row],[b (mm)]]*Table112348[[#This Row],[h (mm)]]*Table112348[[#This Row],[L(mm)]])</f>
        <v>5.6484580778269232E-4</v>
      </c>
      <c r="P73" s="145">
        <f>Table112348[[#This Row],[M (KN.mm)]]/(Table112348[[#This Row],[b (mm)]]*Table112348[[#This Row],[d (mm)]]*Table112348[[#This Row],[L(mm)]])</f>
        <v>6.5226242089191846E-4</v>
      </c>
      <c r="Q73" s="145">
        <f>Table112348[[#This Row],[M (KN.mm)]]/(Table112348[[#This Row],[b (mm)]]*Table112348[[#This Row],[h (mm)]]*Table112348[[#This Row],[L(mm)]]*Table112348[[#This Row],[fc (Mpa)]])</f>
        <v>1.6711414431440601E-5</v>
      </c>
      <c r="R73" s="145">
        <f>Table112348[[#This Row],[M (KN.mm)]]/(Table112348[[#This Row],[b (mm)]]*Table112348[[#This Row],[h (mm)]]*Table112348[[#This Row],[L(mm)]]/2)</f>
        <v>1.1296916155653846E-3</v>
      </c>
      <c r="S73" s="133">
        <f>Table112348[[#This Row],[M (KN.mm)]]/(Table112348[[#This Row],[a (mm)]]*Table112348[[#This Row],[b (mm)]]*Table112348[[#This Row],[h (mm)]]*Table112348[[#This Row],[L(mm)]]/2)</f>
        <v>1.482534928563497E-6</v>
      </c>
      <c r="T73" s="110">
        <f>G73/($AK$5*AH73*0.001*Table112348[[#This Row],[pho (%)]])</f>
        <v>4.2196500742006938E-6</v>
      </c>
      <c r="U73" s="133">
        <f>Table112348[[#This Row],[M (KN.mm)]]/(Table112348[[#This Row],[b (mm)]]*Table112348[[#This Row],[d (mm)]]*Table112348[[#This Row],[pho (%)]])</f>
        <v>1.0143346218768203</v>
      </c>
      <c r="V73" s="110">
        <f>E73*224.8/(2*SQRT(Table112348[[#This Row],[fc (Mpa)]]*145.037)*Table112348[[#This Row],[b (mm)]]*Table112348[[#This Row],[d (mm)]]*(1/25.4)^2)</f>
        <v>1.3511026443967149</v>
      </c>
      <c r="W73" s="145">
        <f>Table112348[[#This Row],[M (KN.mm)]]/$G$76</f>
        <v>0.66666666666666674</v>
      </c>
      <c r="X73" s="110">
        <f t="shared" si="39"/>
        <v>1.3511026443967149</v>
      </c>
      <c r="Y73" s="110">
        <f t="shared" si="40"/>
        <v>762</v>
      </c>
      <c r="Z73" s="110">
        <f t="shared" si="41"/>
        <v>266.7</v>
      </c>
      <c r="AA73" s="132">
        <f t="shared" si="42"/>
        <v>307.97499999999997</v>
      </c>
      <c r="AB73" s="134">
        <f t="shared" si="43"/>
        <v>230.124</v>
      </c>
      <c r="AC73" s="7">
        <v>33.799999999999997</v>
      </c>
      <c r="AD73" s="132">
        <f>Table112348[[#This Row],[pho (%)]]/100*Table112348[[#This Row],[b (mm)]]*Table112348[[#This Row],[h (mm)]]</f>
        <v>694.54990121999992</v>
      </c>
      <c r="AE73" s="135">
        <v>0.98</v>
      </c>
      <c r="AF73" s="110">
        <v>640.5</v>
      </c>
      <c r="AG73" s="132">
        <f>(1/3-0.21*(MIN(Table112348[[#This Row],[b (mm)]],AA73)/MAX(Table112348[[#This Row],[b (mm)]],AA73))*(MIN(Table112348[[#This Row],[b (mm)]],AA73)^4/(12*MAX(Table112348[[#This Row],[b (mm)]],AA73)^4)))*MAX(Table112348[[#This Row],[b (mm)]],AA73)*MIN(Table112348[[#This Row],[b (mm)]],AA73)^3</f>
        <v>1235765925.6938643</v>
      </c>
      <c r="AH73" s="132">
        <f>Table112348[[#This Row],[b (mm)]]*AA73^3/12</f>
        <v>560179304.37881768</v>
      </c>
      <c r="AI73" s="132">
        <f t="shared" si="44"/>
        <v>1524</v>
      </c>
      <c r="AJ73" s="182"/>
      <c r="AK73" s="179"/>
    </row>
    <row r="74" spans="1:37" x14ac:dyDescent="0.25">
      <c r="A74" s="227" t="s">
        <v>183</v>
      </c>
      <c r="B74" s="228" t="s">
        <v>63</v>
      </c>
      <c r="C74" s="186">
        <v>73</v>
      </c>
      <c r="D74" s="130">
        <f>Table112348[[#This Row],[a (mm)]]/Table112348[[#This Row],[d (mm)]]</f>
        <v>2.8571428571428572</v>
      </c>
      <c r="E74" s="228">
        <v>93.408000000000015</v>
      </c>
      <c r="F74" s="127">
        <f>Table112348[[#This Row],[d (mm)]]</f>
        <v>266.7</v>
      </c>
      <c r="G74" s="132">
        <f t="shared" si="35"/>
        <v>71176.896000000008</v>
      </c>
      <c r="H74" s="132">
        <f t="shared" si="36"/>
        <v>4.8244665848361266E-6</v>
      </c>
      <c r="I74" s="132">
        <f>G74/(Table112348[[#This Row],[b (mm)]]*Z74^2)</f>
        <v>4.3484161392794568E-3</v>
      </c>
      <c r="J74" s="132">
        <f t="shared" si="37"/>
        <v>0.59992013869127792</v>
      </c>
      <c r="K74" s="132">
        <f t="shared" si="38"/>
        <v>2.4072334478662707E-6</v>
      </c>
      <c r="L74" s="132">
        <f>E74/(Table112348[[#This Row],[b (mm)]]*Z74)</f>
        <v>1.5219456487478101E-3</v>
      </c>
      <c r="M74" s="132">
        <f>Table112348[[#This Row],[M (KN.mm)]]/(Table112348[[#This Row],[b (mm)]]*Table112348[[#This Row],[d (mm)]])</f>
        <v>1.1597225843458312</v>
      </c>
      <c r="N74" s="132">
        <f>Table112348[[#This Row],[M (KN.mm)]]/(Table112348[[#This Row],[b (mm)]]*Table112348[[#This Row],[h (mm)]])</f>
        <v>1.004295846237627</v>
      </c>
      <c r="O74" s="145">
        <f>Table112348[[#This Row],[M (KN.mm)]]/(Table112348[[#This Row],[b (mm)]]*Table112348[[#This Row],[h (mm)]]*Table112348[[#This Row],[L(mm)]])</f>
        <v>6.589867757464744E-4</v>
      </c>
      <c r="P74" s="145">
        <f>Table112348[[#This Row],[M (KN.mm)]]/(Table112348[[#This Row],[b (mm)]]*Table112348[[#This Row],[d (mm)]]*Table112348[[#This Row],[L(mm)]])</f>
        <v>7.6097282437390492E-4</v>
      </c>
      <c r="Q74" s="145">
        <f>Table112348[[#This Row],[M (KN.mm)]]/(Table112348[[#This Row],[b (mm)]]*Table112348[[#This Row],[h (mm)]]*Table112348[[#This Row],[L(mm)]]*Table112348[[#This Row],[fc (Mpa)]])</f>
        <v>1.9496650170014037E-5</v>
      </c>
      <c r="R74" s="145">
        <f>Table112348[[#This Row],[M (KN.mm)]]/(Table112348[[#This Row],[b (mm)]]*Table112348[[#This Row],[h (mm)]]*Table112348[[#This Row],[L(mm)]]/2)</f>
        <v>1.3179735514929488E-3</v>
      </c>
      <c r="S74" s="133">
        <f>Table112348[[#This Row],[M (KN.mm)]]/(Table112348[[#This Row],[a (mm)]]*Table112348[[#This Row],[b (mm)]]*Table112348[[#This Row],[h (mm)]]*Table112348[[#This Row],[L(mm)]]/2)</f>
        <v>1.7296240833240798E-6</v>
      </c>
      <c r="T74" s="110">
        <f>G74/($AK$5*AH74*0.001*Table112348[[#This Row],[pho (%)]])</f>
        <v>4.9229250865674761E-6</v>
      </c>
      <c r="U74" s="133">
        <f>Table112348[[#This Row],[M (KN.mm)]]/(Table112348[[#This Row],[b (mm)]]*Table112348[[#This Row],[d (mm)]]*Table112348[[#This Row],[pho (%)]])</f>
        <v>1.1833903921896236</v>
      </c>
      <c r="V74" s="110">
        <f>E74*224.8/(2*SQRT(Table112348[[#This Row],[fc (Mpa)]]*145.037)*Table112348[[#This Row],[b (mm)]]*Table112348[[#This Row],[d (mm)]]*(1/25.4)^2)</f>
        <v>1.5762864184628342</v>
      </c>
      <c r="W74" s="145">
        <f>Table112348[[#This Row],[M (KN.mm)]]/$G$76</f>
        <v>0.7777777777777779</v>
      </c>
      <c r="X74" s="110">
        <f t="shared" si="39"/>
        <v>1.5762864184628342</v>
      </c>
      <c r="Y74" s="110">
        <f t="shared" si="40"/>
        <v>762</v>
      </c>
      <c r="Z74" s="110">
        <f t="shared" si="41"/>
        <v>266.7</v>
      </c>
      <c r="AA74" s="132">
        <f t="shared" si="42"/>
        <v>307.97499999999997</v>
      </c>
      <c r="AB74" s="134">
        <f t="shared" si="43"/>
        <v>230.124</v>
      </c>
      <c r="AC74" s="7">
        <v>33.799999999999997</v>
      </c>
      <c r="AD74" s="132">
        <f>Table112348[[#This Row],[pho (%)]]/100*Table112348[[#This Row],[b (mm)]]*Table112348[[#This Row],[h (mm)]]</f>
        <v>694.54990121999992</v>
      </c>
      <c r="AE74" s="135">
        <v>0.98</v>
      </c>
      <c r="AF74" s="110">
        <v>640.5</v>
      </c>
      <c r="AG74" s="132">
        <f>(1/3-0.21*(MIN(Table112348[[#This Row],[b (mm)]],AA74)/MAX(Table112348[[#This Row],[b (mm)]],AA74))*(MIN(Table112348[[#This Row],[b (mm)]],AA74)^4/(12*MAX(Table112348[[#This Row],[b (mm)]],AA74)^4)))*MAX(Table112348[[#This Row],[b (mm)]],AA74)*MIN(Table112348[[#This Row],[b (mm)]],AA74)^3</f>
        <v>1235765925.6938643</v>
      </c>
      <c r="AH74" s="132">
        <f>Table112348[[#This Row],[b (mm)]]*AA74^3/12</f>
        <v>560179304.37881768</v>
      </c>
      <c r="AI74" s="132">
        <f t="shared" si="44"/>
        <v>1524</v>
      </c>
      <c r="AJ74" s="182"/>
      <c r="AK74" s="179"/>
    </row>
    <row r="75" spans="1:37" ht="16.5" customHeight="1" x14ac:dyDescent="0.25">
      <c r="A75" s="227" t="s">
        <v>183</v>
      </c>
      <c r="B75" s="228" t="s">
        <v>64</v>
      </c>
      <c r="C75" s="186">
        <v>74</v>
      </c>
      <c r="D75" s="130">
        <f>Table112348[[#This Row],[a (mm)]]/Table112348[[#This Row],[d (mm)]]</f>
        <v>2.8571428571428572</v>
      </c>
      <c r="E75" s="228">
        <v>106.75200000000001</v>
      </c>
      <c r="F75" s="127">
        <f>Table112348[[#This Row],[d (mm)]]</f>
        <v>266.7</v>
      </c>
      <c r="G75" s="132">
        <f t="shared" si="35"/>
        <v>81345.024000000005</v>
      </c>
      <c r="H75" s="132">
        <f t="shared" si="36"/>
        <v>5.5136760969555734E-6</v>
      </c>
      <c r="I75" s="132">
        <f>G75/(Table112348[[#This Row],[b (mm)]]*Z75^2)</f>
        <v>4.9696184448908077E-3</v>
      </c>
      <c r="J75" s="132">
        <f t="shared" si="37"/>
        <v>0.68562301564717476</v>
      </c>
      <c r="K75" s="132">
        <f t="shared" si="38"/>
        <v>2.751123940418595E-6</v>
      </c>
      <c r="L75" s="132">
        <f>E75/(Table112348[[#This Row],[b (mm)]]*Z75)</f>
        <v>1.7393664557117828E-3</v>
      </c>
      <c r="M75" s="132">
        <f>Table112348[[#This Row],[M (KN.mm)]]/(Table112348[[#This Row],[b (mm)]]*Table112348[[#This Row],[d (mm)]])</f>
        <v>1.3253972392523785</v>
      </c>
      <c r="N75" s="132">
        <f>Table112348[[#This Row],[M (KN.mm)]]/(Table112348[[#This Row],[b (mm)]]*Table112348[[#This Row],[h (mm)]])</f>
        <v>1.1477666814144307</v>
      </c>
      <c r="O75" s="145">
        <f>Table112348[[#This Row],[M (KN.mm)]]/(Table112348[[#This Row],[b (mm)]]*Table112348[[#This Row],[h (mm)]]*Table112348[[#This Row],[L(mm)]])</f>
        <v>7.5312774371025638E-4</v>
      </c>
      <c r="P75" s="145">
        <f>Table112348[[#This Row],[M (KN.mm)]]/(Table112348[[#This Row],[b (mm)]]*Table112348[[#This Row],[d (mm)]]*Table112348[[#This Row],[L(mm)]])</f>
        <v>8.6968322785589138E-4</v>
      </c>
      <c r="Q75" s="145">
        <f>Table112348[[#This Row],[M (KN.mm)]]/(Table112348[[#This Row],[b (mm)]]*Table112348[[#This Row],[h (mm)]]*Table112348[[#This Row],[L(mm)]]*Table112348[[#This Row],[fc (Mpa)]])</f>
        <v>2.2281885908587468E-5</v>
      </c>
      <c r="R75" s="145">
        <f>Table112348[[#This Row],[M (KN.mm)]]/(Table112348[[#This Row],[b (mm)]]*Table112348[[#This Row],[h (mm)]]*Table112348[[#This Row],[L(mm)]]/2)</f>
        <v>1.5062554874205128E-3</v>
      </c>
      <c r="S75" s="133">
        <f>Table112348[[#This Row],[M (KN.mm)]]/(Table112348[[#This Row],[a (mm)]]*Table112348[[#This Row],[b (mm)]]*Table112348[[#This Row],[h (mm)]]*Table112348[[#This Row],[L(mm)]]/2)</f>
        <v>1.9767132380846627E-6</v>
      </c>
      <c r="T75" s="110">
        <f>G75/($AK$5*AH75*0.001*Table112348[[#This Row],[pho (%)]])</f>
        <v>5.6262000989342584E-6</v>
      </c>
      <c r="U75" s="133">
        <f>Table112348[[#This Row],[M (KN.mm)]]/(Table112348[[#This Row],[b (mm)]]*Table112348[[#This Row],[d (mm)]]*Table112348[[#This Row],[pho (%)]])</f>
        <v>1.3524461625024271</v>
      </c>
      <c r="V75" s="110">
        <f>E75*224.8/(2*SQRT(Table112348[[#This Row],[fc (Mpa)]]*145.037)*Table112348[[#This Row],[b (mm)]]*Table112348[[#This Row],[d (mm)]]*(1/25.4)^2)</f>
        <v>1.8014701925289536</v>
      </c>
      <c r="W75" s="145">
        <f>Table112348[[#This Row],[M (KN.mm)]]/$G$76</f>
        <v>0.88888888888888895</v>
      </c>
      <c r="X75" s="110">
        <f t="shared" si="39"/>
        <v>1.8014701925289536</v>
      </c>
      <c r="Y75" s="110">
        <f t="shared" si="40"/>
        <v>762</v>
      </c>
      <c r="Z75" s="110">
        <f t="shared" si="41"/>
        <v>266.7</v>
      </c>
      <c r="AA75" s="132">
        <f t="shared" si="42"/>
        <v>307.97499999999997</v>
      </c>
      <c r="AB75" s="134">
        <f t="shared" si="43"/>
        <v>230.124</v>
      </c>
      <c r="AC75" s="7">
        <v>33.799999999999997</v>
      </c>
      <c r="AD75" s="132">
        <f>Table112348[[#This Row],[pho (%)]]/100*Table112348[[#This Row],[b (mm)]]*Table112348[[#This Row],[h (mm)]]</f>
        <v>694.54990121999992</v>
      </c>
      <c r="AE75" s="135">
        <v>0.98</v>
      </c>
      <c r="AF75" s="110">
        <v>640.5</v>
      </c>
      <c r="AG75" s="132">
        <f>(1/3-0.21*(MIN(Table112348[[#This Row],[b (mm)]],AA75)/MAX(Table112348[[#This Row],[b (mm)]],AA75))*(MIN(Table112348[[#This Row],[b (mm)]],AA75)^4/(12*MAX(Table112348[[#This Row],[b (mm)]],AA75)^4)))*MAX(Table112348[[#This Row],[b (mm)]],AA75)*MIN(Table112348[[#This Row],[b (mm)]],AA75)^3</f>
        <v>1235765925.6938643</v>
      </c>
      <c r="AH75" s="132">
        <f>Table112348[[#This Row],[b (mm)]]*AA75^3/12</f>
        <v>560179304.37881768</v>
      </c>
      <c r="AI75" s="132">
        <f t="shared" si="44"/>
        <v>1524</v>
      </c>
      <c r="AJ75" s="182"/>
      <c r="AK75" s="179"/>
    </row>
    <row r="76" spans="1:37" x14ac:dyDescent="0.25">
      <c r="A76" s="227" t="s">
        <v>183</v>
      </c>
      <c r="B76" s="228" t="s">
        <v>65</v>
      </c>
      <c r="C76" s="186">
        <v>75</v>
      </c>
      <c r="D76" s="130">
        <f>Table112348[[#This Row],[a (mm)]]/Table112348[[#This Row],[d (mm)]]</f>
        <v>2.8571428571428572</v>
      </c>
      <c r="E76" s="228">
        <v>120.096</v>
      </c>
      <c r="F76" s="127">
        <f>Table112348[[#This Row],[d (mm)]]</f>
        <v>266.7</v>
      </c>
      <c r="G76" s="132">
        <f t="shared" si="35"/>
        <v>91513.152000000002</v>
      </c>
      <c r="H76" s="132">
        <f t="shared" si="36"/>
        <v>6.2028856090750193E-6</v>
      </c>
      <c r="I76" s="132">
        <f>G76/(Table112348[[#This Row],[b (mm)]]*Z76^2)</f>
        <v>5.5908207505021585E-3</v>
      </c>
      <c r="J76" s="132">
        <f t="shared" si="37"/>
        <v>0.77132589260307161</v>
      </c>
      <c r="K76" s="132">
        <f t="shared" si="38"/>
        <v>3.095014432970919E-6</v>
      </c>
      <c r="L76" s="132">
        <f>E76/(Table112348[[#This Row],[b (mm)]]*Z76)</f>
        <v>1.9567872626757555E-3</v>
      </c>
      <c r="M76" s="132">
        <f>Table112348[[#This Row],[M (KN.mm)]]/(Table112348[[#This Row],[b (mm)]]*Table112348[[#This Row],[d (mm)]])</f>
        <v>1.4910718941589256</v>
      </c>
      <c r="N76" s="132">
        <f>Table112348[[#This Row],[M (KN.mm)]]/(Table112348[[#This Row],[b (mm)]]*Table112348[[#This Row],[h (mm)]])</f>
        <v>1.2912375165912346</v>
      </c>
      <c r="O76" s="145">
        <f>Table112348[[#This Row],[M (KN.mm)]]/(Table112348[[#This Row],[b (mm)]]*Table112348[[#This Row],[h (mm)]]*Table112348[[#This Row],[L(mm)]])</f>
        <v>8.4726871167403836E-4</v>
      </c>
      <c r="P76" s="145">
        <f>Table112348[[#This Row],[M (KN.mm)]]/(Table112348[[#This Row],[b (mm)]]*Table112348[[#This Row],[d (mm)]]*Table112348[[#This Row],[L(mm)]])</f>
        <v>9.7839363133787774E-4</v>
      </c>
      <c r="Q76" s="145">
        <f>Table112348[[#This Row],[M (KN.mm)]]/(Table112348[[#This Row],[b (mm)]]*Table112348[[#This Row],[h (mm)]]*Table112348[[#This Row],[L(mm)]]*Table112348[[#This Row],[fc (Mpa)]])</f>
        <v>2.5067121647160904E-5</v>
      </c>
      <c r="R76" s="145">
        <f>Table112348[[#This Row],[M (KN.mm)]]/(Table112348[[#This Row],[b (mm)]]*Table112348[[#This Row],[h (mm)]]*Table112348[[#This Row],[L(mm)]]/2)</f>
        <v>1.6945374233480767E-3</v>
      </c>
      <c r="S76" s="133">
        <f>Table112348[[#This Row],[M (KN.mm)]]/(Table112348[[#This Row],[a (mm)]]*Table112348[[#This Row],[b (mm)]]*Table112348[[#This Row],[h (mm)]]*Table112348[[#This Row],[L(mm)]]/2)</f>
        <v>2.2238023928452453E-6</v>
      </c>
      <c r="T76" s="110">
        <f>G76/($AK$5*AH76*0.001*Table112348[[#This Row],[pho (%)]])</f>
        <v>6.3294751113010408E-6</v>
      </c>
      <c r="U76" s="133">
        <f>Table112348[[#This Row],[M (KN.mm)]]/(Table112348[[#This Row],[b (mm)]]*Table112348[[#This Row],[d (mm)]]*Table112348[[#This Row],[pho (%)]])</f>
        <v>1.5215019328152304</v>
      </c>
      <c r="V76" s="110">
        <f>E76*224.8/(2*SQRT(Table112348[[#This Row],[fc (Mpa)]]*145.037)*Table112348[[#This Row],[b (mm)]]*Table112348[[#This Row],[d (mm)]]*(1/25.4)^2)</f>
        <v>2.0266539665950725</v>
      </c>
      <c r="W76" s="145">
        <f>Table112348[[#This Row],[M (KN.mm)]]/$G$76</f>
        <v>1</v>
      </c>
      <c r="X76" s="110">
        <f t="shared" si="39"/>
        <v>2.0266539665950725</v>
      </c>
      <c r="Y76" s="110">
        <f t="shared" si="40"/>
        <v>762</v>
      </c>
      <c r="Z76" s="110">
        <f t="shared" si="41"/>
        <v>266.7</v>
      </c>
      <c r="AA76" s="132">
        <f t="shared" si="42"/>
        <v>307.97499999999997</v>
      </c>
      <c r="AB76" s="134">
        <f t="shared" si="43"/>
        <v>230.124</v>
      </c>
      <c r="AC76" s="7">
        <v>33.799999999999997</v>
      </c>
      <c r="AD76" s="132">
        <f>Table112348[[#This Row],[pho (%)]]/100*Table112348[[#This Row],[b (mm)]]*Table112348[[#This Row],[h (mm)]]</f>
        <v>694.54990121999992</v>
      </c>
      <c r="AE76" s="135">
        <v>0.98</v>
      </c>
      <c r="AF76" s="110">
        <v>640.5</v>
      </c>
      <c r="AG76" s="132">
        <f>(1/3-0.21*(MIN(Table112348[[#This Row],[b (mm)]],AA76)/MAX(Table112348[[#This Row],[b (mm)]],AA76))*(MIN(Table112348[[#This Row],[b (mm)]],AA76)^4/(12*MAX(Table112348[[#This Row],[b (mm)]],AA76)^4)))*MAX(Table112348[[#This Row],[b (mm)]],AA76)*MIN(Table112348[[#This Row],[b (mm)]],AA76)^3</f>
        <v>1235765925.6938643</v>
      </c>
      <c r="AH76" s="132">
        <f>Table112348[[#This Row],[b (mm)]]*AA76^3/12</f>
        <v>560179304.37881768</v>
      </c>
      <c r="AI76" s="132">
        <f t="shared" si="44"/>
        <v>1524</v>
      </c>
      <c r="AJ76" s="182"/>
      <c r="AK76" s="179"/>
    </row>
    <row r="77" spans="1:37" x14ac:dyDescent="0.25">
      <c r="A77" s="229" t="s">
        <v>185</v>
      </c>
      <c r="B77" s="230" t="s">
        <v>60</v>
      </c>
      <c r="C77" s="180">
        <v>76</v>
      </c>
      <c r="D77" s="130">
        <f>Table112348[[#This Row],[a (mm)]]/Table112348[[#This Row],[d (mm)]]</f>
        <v>2.8571428571428572</v>
      </c>
      <c r="E77" s="230">
        <v>53.376000000000005</v>
      </c>
      <c r="F77" s="127">
        <f>Table112348[[#This Row],[d (mm)]]</f>
        <v>266.7</v>
      </c>
      <c r="G77" s="132">
        <f t="shared" si="35"/>
        <v>40672.512000000002</v>
      </c>
      <c r="H77" s="132">
        <f t="shared" si="36"/>
        <v>2.7568380484777867E-6</v>
      </c>
      <c r="I77" s="132">
        <f>G77/(Table112348[[#This Row],[b (mm)]]*Z77^2)</f>
        <v>2.4848092224454038E-3</v>
      </c>
      <c r="J77" s="132">
        <f t="shared" si="37"/>
        <v>0.34281150782358738</v>
      </c>
      <c r="K77" s="132">
        <f t="shared" si="38"/>
        <v>1.3755619702092975E-6</v>
      </c>
      <c r="L77" s="132">
        <f>E77/(Table112348[[#This Row],[b (mm)]]*Z77)</f>
        <v>8.6968322785589138E-4</v>
      </c>
      <c r="M77" s="132">
        <f>Table112348[[#This Row],[M (KN.mm)]]/(Table112348[[#This Row],[b (mm)]]*Table112348[[#This Row],[d (mm)]])</f>
        <v>0.66269861962618926</v>
      </c>
      <c r="N77" s="132">
        <f>Table112348[[#This Row],[M (KN.mm)]]/(Table112348[[#This Row],[b (mm)]]*Table112348[[#This Row],[h (mm)]])</f>
        <v>0.57388334070721536</v>
      </c>
      <c r="O77" s="145">
        <f>Table112348[[#This Row],[M (KN.mm)]]/(Table112348[[#This Row],[b (mm)]]*Table112348[[#This Row],[h (mm)]]*Table112348[[#This Row],[L(mm)]])</f>
        <v>3.7656387185512819E-4</v>
      </c>
      <c r="P77" s="145">
        <f>Table112348[[#This Row],[M (KN.mm)]]/(Table112348[[#This Row],[b (mm)]]*Table112348[[#This Row],[d (mm)]]*Table112348[[#This Row],[L(mm)]])</f>
        <v>4.3484161392794569E-4</v>
      </c>
      <c r="Q77" s="145">
        <f>Table112348[[#This Row],[M (KN.mm)]]/(Table112348[[#This Row],[b (mm)]]*Table112348[[#This Row],[h (mm)]]*Table112348[[#This Row],[L(mm)]]*Table112348[[#This Row],[fc (Mpa)]])</f>
        <v>1.1140942954293734E-5</v>
      </c>
      <c r="R77" s="145">
        <f>Table112348[[#This Row],[M (KN.mm)]]/(Table112348[[#This Row],[b (mm)]]*Table112348[[#This Row],[h (mm)]]*Table112348[[#This Row],[L(mm)]]/2)</f>
        <v>7.5312774371025638E-4</v>
      </c>
      <c r="S77" s="133">
        <f>Table112348[[#This Row],[M (KN.mm)]]/(Table112348[[#This Row],[a (mm)]]*Table112348[[#This Row],[b (mm)]]*Table112348[[#This Row],[h (mm)]]*Table112348[[#This Row],[L(mm)]]/2)</f>
        <v>9.8835661904233133E-7</v>
      </c>
      <c r="T77" s="110">
        <f>G77/($AK$5*AH77*0.001*Table112348[[#This Row],[pho (%)]])</f>
        <v>2.8131000494671292E-6</v>
      </c>
      <c r="U77" s="133">
        <f>Table112348[[#This Row],[M (KN.mm)]]/(Table112348[[#This Row],[b (mm)]]*Table112348[[#This Row],[d (mm)]]*Table112348[[#This Row],[pho (%)]])</f>
        <v>0.67622308125121355</v>
      </c>
      <c r="V77" s="110">
        <f>E77*224.8/(2*SQRT(Table112348[[#This Row],[fc (Mpa)]]*145.037)*Table112348[[#This Row],[b (mm)]]*Table112348[[#This Row],[d (mm)]]*(1/25.4)^2)</f>
        <v>0.90073509626447679</v>
      </c>
      <c r="W77" s="145">
        <f>Table112348[[#This Row],[M (KN.mm)]]/$G$83</f>
        <v>0.41379310344827586</v>
      </c>
      <c r="X77" s="110">
        <f t="shared" si="39"/>
        <v>0.90073509626447679</v>
      </c>
      <c r="Y77" s="110">
        <f t="shared" si="40"/>
        <v>762</v>
      </c>
      <c r="Z77" s="110">
        <f t="shared" si="41"/>
        <v>266.7</v>
      </c>
      <c r="AA77" s="132">
        <f t="shared" si="42"/>
        <v>307.97499999999997</v>
      </c>
      <c r="AB77" s="134">
        <f t="shared" si="43"/>
        <v>230.124</v>
      </c>
      <c r="AC77" s="7">
        <v>33.799999999999997</v>
      </c>
      <c r="AD77" s="132">
        <f>Table112348[[#This Row],[pho (%)]]/100*Table112348[[#This Row],[b (mm)]]*Table112348[[#This Row],[h (mm)]]</f>
        <v>694.54990121999992</v>
      </c>
      <c r="AE77" s="135">
        <v>0.98</v>
      </c>
      <c r="AF77" s="110">
        <v>640.5</v>
      </c>
      <c r="AG77" s="132">
        <f>(1/3-0.21*(MIN(Table112348[[#This Row],[b (mm)]],AA77)/MAX(Table112348[[#This Row],[b (mm)]],AA77))*(MIN(Table112348[[#This Row],[b (mm)]],AA77)^4/(12*MAX(Table112348[[#This Row],[b (mm)]],AA77)^4)))*MAX(Table112348[[#This Row],[b (mm)]],AA77)*MIN(Table112348[[#This Row],[b (mm)]],AA77)^3</f>
        <v>1235765925.6938643</v>
      </c>
      <c r="AH77" s="132">
        <f>Table112348[[#This Row],[b (mm)]]*AA77^3/12</f>
        <v>560179304.37881768</v>
      </c>
      <c r="AI77" s="132">
        <f t="shared" si="44"/>
        <v>1524</v>
      </c>
      <c r="AJ77" s="182"/>
      <c r="AK77" s="179"/>
    </row>
    <row r="78" spans="1:37" ht="14.25" customHeight="1" x14ac:dyDescent="0.25">
      <c r="A78" s="229" t="s">
        <v>185</v>
      </c>
      <c r="B78" s="230" t="s">
        <v>61</v>
      </c>
      <c r="C78" s="180">
        <v>77</v>
      </c>
      <c r="D78" s="130">
        <f>Table112348[[#This Row],[a (mm)]]/Table112348[[#This Row],[d (mm)]]</f>
        <v>2.8571428571428572</v>
      </c>
      <c r="E78" s="230">
        <v>66.72</v>
      </c>
      <c r="F78" s="127">
        <f>Table112348[[#This Row],[d (mm)]]</f>
        <v>266.7</v>
      </c>
      <c r="G78" s="132">
        <f t="shared" ref="G78:G83" si="45">E78*Y78</f>
        <v>50840.639999999999</v>
      </c>
      <c r="H78" s="132">
        <f t="shared" ref="H78:H83" si="46">G78/($AK$5*AH78*0.001)</f>
        <v>3.446047560597233E-6</v>
      </c>
      <c r="I78" s="132">
        <f>G78/(Table112348[[#This Row],[b (mm)]]*Z78^2)</f>
        <v>3.1060115280567547E-3</v>
      </c>
      <c r="J78" s="132">
        <f t="shared" ref="J78:J83" si="47">G78/(AD78*AF78*Z78*0.001)</f>
        <v>0.42851438477948417</v>
      </c>
      <c r="K78" s="132">
        <f t="shared" ref="K78:K83" si="48">E78/($AK$4*AG78*0.001)</f>
        <v>1.7194524627616217E-6</v>
      </c>
      <c r="L78" s="132">
        <f>E78/(Table112348[[#This Row],[b (mm)]]*Z78)</f>
        <v>1.0871040348198642E-3</v>
      </c>
      <c r="M78" s="132">
        <f>Table112348[[#This Row],[M (KN.mm)]]/(Table112348[[#This Row],[b (mm)]]*Table112348[[#This Row],[d (mm)]])</f>
        <v>0.82837327453273646</v>
      </c>
      <c r="N78" s="132">
        <f>Table112348[[#This Row],[M (KN.mm)]]/(Table112348[[#This Row],[b (mm)]]*Table112348[[#This Row],[h (mm)]])</f>
        <v>0.71735417588401917</v>
      </c>
      <c r="O78" s="145">
        <f>Table112348[[#This Row],[M (KN.mm)]]/(Table112348[[#This Row],[b (mm)]]*Table112348[[#This Row],[h (mm)]]*Table112348[[#This Row],[L(mm)]])</f>
        <v>4.7070483981891023E-4</v>
      </c>
      <c r="P78" s="145">
        <f>Table112348[[#This Row],[M (KN.mm)]]/(Table112348[[#This Row],[b (mm)]]*Table112348[[#This Row],[d (mm)]]*Table112348[[#This Row],[L(mm)]])</f>
        <v>5.435520174099321E-4</v>
      </c>
      <c r="Q78" s="145">
        <f>Table112348[[#This Row],[M (KN.mm)]]/(Table112348[[#This Row],[b (mm)]]*Table112348[[#This Row],[h (mm)]]*Table112348[[#This Row],[L(mm)]]*Table112348[[#This Row],[fc (Mpa)]])</f>
        <v>1.3926178692867168E-5</v>
      </c>
      <c r="R78" s="145">
        <f>Table112348[[#This Row],[M (KN.mm)]]/(Table112348[[#This Row],[b (mm)]]*Table112348[[#This Row],[h (mm)]]*Table112348[[#This Row],[L(mm)]]/2)</f>
        <v>9.4140967963782045E-4</v>
      </c>
      <c r="S78" s="133">
        <f>Table112348[[#This Row],[M (KN.mm)]]/(Table112348[[#This Row],[a (mm)]]*Table112348[[#This Row],[b (mm)]]*Table112348[[#This Row],[h (mm)]]*Table112348[[#This Row],[L(mm)]]/2)</f>
        <v>1.2354457738029139E-6</v>
      </c>
      <c r="T78" s="110">
        <f>G78/($AK$5*AH78*0.001*Table112348[[#This Row],[pho (%)]])</f>
        <v>3.5163750618339111E-6</v>
      </c>
      <c r="U78" s="133">
        <f>Table112348[[#This Row],[M (KN.mm)]]/(Table112348[[#This Row],[b (mm)]]*Table112348[[#This Row],[d (mm)]]*Table112348[[#This Row],[pho (%)]])</f>
        <v>0.84527885156401683</v>
      </c>
      <c r="V78" s="110">
        <f>E78*224.8/(2*SQRT(Table112348[[#This Row],[fc (Mpa)]]*145.037)*Table112348[[#This Row],[b (mm)]]*Table112348[[#This Row],[d (mm)]]*(1/25.4)^2)</f>
        <v>1.1259188703305958</v>
      </c>
      <c r="W78" s="145">
        <f>Table112348[[#This Row],[M (KN.mm)]]/$G$83</f>
        <v>0.51724137931034475</v>
      </c>
      <c r="X78" s="110">
        <f t="shared" si="39"/>
        <v>1.1259188703305958</v>
      </c>
      <c r="Y78" s="110">
        <f t="shared" si="40"/>
        <v>762</v>
      </c>
      <c r="Z78" s="110">
        <f t="shared" si="41"/>
        <v>266.7</v>
      </c>
      <c r="AA78" s="132">
        <f t="shared" si="42"/>
        <v>307.97499999999997</v>
      </c>
      <c r="AB78" s="134">
        <f t="shared" si="43"/>
        <v>230.124</v>
      </c>
      <c r="AC78" s="7">
        <v>33.799999999999997</v>
      </c>
      <c r="AD78" s="132">
        <f>Table112348[[#This Row],[pho (%)]]/100*Table112348[[#This Row],[b (mm)]]*Table112348[[#This Row],[h (mm)]]</f>
        <v>694.54990121999992</v>
      </c>
      <c r="AE78" s="135">
        <v>0.98</v>
      </c>
      <c r="AF78" s="110">
        <v>640.5</v>
      </c>
      <c r="AG78" s="132">
        <f>(1/3-0.21*(MIN(Table112348[[#This Row],[b (mm)]],AA78)/MAX(Table112348[[#This Row],[b (mm)]],AA78))*(MIN(Table112348[[#This Row],[b (mm)]],AA78)^4/(12*MAX(Table112348[[#This Row],[b (mm)]],AA78)^4)))*MAX(Table112348[[#This Row],[b (mm)]],AA78)*MIN(Table112348[[#This Row],[b (mm)]],AA78)^3</f>
        <v>1235765925.6938643</v>
      </c>
      <c r="AH78" s="132">
        <f>Table112348[[#This Row],[b (mm)]]*AA78^3/12</f>
        <v>560179304.37881768</v>
      </c>
      <c r="AI78" s="132">
        <f t="shared" si="44"/>
        <v>1524</v>
      </c>
      <c r="AJ78" s="182"/>
      <c r="AK78" s="179"/>
    </row>
    <row r="79" spans="1:37" x14ac:dyDescent="0.25">
      <c r="A79" s="229" t="s">
        <v>185</v>
      </c>
      <c r="B79" s="230" t="s">
        <v>62</v>
      </c>
      <c r="C79" s="180">
        <v>78</v>
      </c>
      <c r="D79" s="130">
        <f>Table112348[[#This Row],[a (mm)]]/Table112348[[#This Row],[d (mm)]]</f>
        <v>2.8571428571428572</v>
      </c>
      <c r="E79" s="230">
        <v>80.064000000000007</v>
      </c>
      <c r="F79" s="127">
        <f>Table112348[[#This Row],[d (mm)]]</f>
        <v>266.7</v>
      </c>
      <c r="G79" s="132">
        <f t="shared" si="45"/>
        <v>61008.768000000004</v>
      </c>
      <c r="H79" s="132">
        <f t="shared" si="46"/>
        <v>4.1352570727166798E-6</v>
      </c>
      <c r="I79" s="132">
        <f>G79/(Table112348[[#This Row],[b (mm)]]*Z79^2)</f>
        <v>3.7272138336681055E-3</v>
      </c>
      <c r="J79" s="132">
        <f t="shared" si="47"/>
        <v>0.51421726173538107</v>
      </c>
      <c r="K79" s="132">
        <f t="shared" si="48"/>
        <v>2.0633429553139463E-6</v>
      </c>
      <c r="L79" s="132">
        <f>E79/(Table112348[[#This Row],[b (mm)]]*Z79)</f>
        <v>1.3045248417838371E-3</v>
      </c>
      <c r="M79" s="132">
        <f>Table112348[[#This Row],[M (KN.mm)]]/(Table112348[[#This Row],[b (mm)]]*Table112348[[#This Row],[d (mm)]])</f>
        <v>0.99404792943928377</v>
      </c>
      <c r="N79" s="132">
        <f>Table112348[[#This Row],[M (KN.mm)]]/(Table112348[[#This Row],[b (mm)]]*Table112348[[#This Row],[h (mm)]])</f>
        <v>0.8608250110608231</v>
      </c>
      <c r="O79" s="145">
        <f>Table112348[[#This Row],[M (KN.mm)]]/(Table112348[[#This Row],[b (mm)]]*Table112348[[#This Row],[h (mm)]]*Table112348[[#This Row],[L(mm)]])</f>
        <v>5.6484580778269232E-4</v>
      </c>
      <c r="P79" s="145">
        <f>Table112348[[#This Row],[M (KN.mm)]]/(Table112348[[#This Row],[b (mm)]]*Table112348[[#This Row],[d (mm)]]*Table112348[[#This Row],[L(mm)]])</f>
        <v>6.5226242089191846E-4</v>
      </c>
      <c r="Q79" s="145">
        <f>Table112348[[#This Row],[M (KN.mm)]]/(Table112348[[#This Row],[b (mm)]]*Table112348[[#This Row],[h (mm)]]*Table112348[[#This Row],[L(mm)]]*Table112348[[#This Row],[fc (Mpa)]])</f>
        <v>1.6711414431440601E-5</v>
      </c>
      <c r="R79" s="145">
        <f>Table112348[[#This Row],[M (KN.mm)]]/(Table112348[[#This Row],[b (mm)]]*Table112348[[#This Row],[h (mm)]]*Table112348[[#This Row],[L(mm)]]/2)</f>
        <v>1.1296916155653846E-3</v>
      </c>
      <c r="S79" s="133">
        <f>Table112348[[#This Row],[M (KN.mm)]]/(Table112348[[#This Row],[a (mm)]]*Table112348[[#This Row],[b (mm)]]*Table112348[[#This Row],[h (mm)]]*Table112348[[#This Row],[L(mm)]]/2)</f>
        <v>1.482534928563497E-6</v>
      </c>
      <c r="T79" s="110">
        <f>G79/($AK$5*AH79*0.001*Table112348[[#This Row],[pho (%)]])</f>
        <v>4.2196500742006938E-6</v>
      </c>
      <c r="U79" s="133">
        <f>Table112348[[#This Row],[M (KN.mm)]]/(Table112348[[#This Row],[b (mm)]]*Table112348[[#This Row],[d (mm)]]*Table112348[[#This Row],[pho (%)]])</f>
        <v>1.0143346218768203</v>
      </c>
      <c r="V79" s="110">
        <f>E79*224.8/(2*SQRT(Table112348[[#This Row],[fc (Mpa)]]*145.037)*Table112348[[#This Row],[b (mm)]]*Table112348[[#This Row],[d (mm)]]*(1/25.4)^2)</f>
        <v>1.3511026443967149</v>
      </c>
      <c r="W79" s="145">
        <f>Table112348[[#This Row],[M (KN.mm)]]/$G$83</f>
        <v>0.62068965517241381</v>
      </c>
      <c r="X79" s="110">
        <f t="shared" si="39"/>
        <v>1.3511026443967149</v>
      </c>
      <c r="Y79" s="110">
        <f t="shared" si="40"/>
        <v>762</v>
      </c>
      <c r="Z79" s="110">
        <f t="shared" si="41"/>
        <v>266.7</v>
      </c>
      <c r="AA79" s="132">
        <f t="shared" si="42"/>
        <v>307.97499999999997</v>
      </c>
      <c r="AB79" s="134">
        <f t="shared" si="43"/>
        <v>230.124</v>
      </c>
      <c r="AC79" s="7">
        <v>33.799999999999997</v>
      </c>
      <c r="AD79" s="132">
        <f>Table112348[[#This Row],[pho (%)]]/100*Table112348[[#This Row],[b (mm)]]*Table112348[[#This Row],[h (mm)]]</f>
        <v>694.54990121999992</v>
      </c>
      <c r="AE79" s="135">
        <v>0.98</v>
      </c>
      <c r="AF79" s="110">
        <v>640.5</v>
      </c>
      <c r="AG79" s="132">
        <f>(1/3-0.21*(MIN(Table112348[[#This Row],[b (mm)]],AA79)/MAX(Table112348[[#This Row],[b (mm)]],AA79))*(MIN(Table112348[[#This Row],[b (mm)]],AA79)^4/(12*MAX(Table112348[[#This Row],[b (mm)]],AA79)^4)))*MAX(Table112348[[#This Row],[b (mm)]],AA79)*MIN(Table112348[[#This Row],[b (mm)]],AA79)^3</f>
        <v>1235765925.6938643</v>
      </c>
      <c r="AH79" s="132">
        <f>Table112348[[#This Row],[b (mm)]]*AA79^3/12</f>
        <v>560179304.37881768</v>
      </c>
      <c r="AI79" s="132">
        <f t="shared" si="44"/>
        <v>1524</v>
      </c>
      <c r="AJ79" s="182"/>
      <c r="AK79" s="179"/>
    </row>
    <row r="80" spans="1:37" x14ac:dyDescent="0.25">
      <c r="A80" s="229" t="s">
        <v>185</v>
      </c>
      <c r="B80" s="230" t="s">
        <v>63</v>
      </c>
      <c r="C80" s="180">
        <v>79</v>
      </c>
      <c r="D80" s="130">
        <f>Table112348[[#This Row],[a (mm)]]/Table112348[[#This Row],[d (mm)]]</f>
        <v>2.8571428571428572</v>
      </c>
      <c r="E80" s="230">
        <v>93.408000000000015</v>
      </c>
      <c r="F80" s="127">
        <f>Table112348[[#This Row],[d (mm)]]</f>
        <v>266.7</v>
      </c>
      <c r="G80" s="132">
        <f t="shared" si="45"/>
        <v>71176.896000000008</v>
      </c>
      <c r="H80" s="132">
        <f t="shared" si="46"/>
        <v>4.8244665848361266E-6</v>
      </c>
      <c r="I80" s="132">
        <f>G80/(Table112348[[#This Row],[b (mm)]]*Z80^2)</f>
        <v>4.3484161392794568E-3</v>
      </c>
      <c r="J80" s="132">
        <f t="shared" si="47"/>
        <v>0.59992013869127792</v>
      </c>
      <c r="K80" s="132">
        <f t="shared" si="48"/>
        <v>2.4072334478662707E-6</v>
      </c>
      <c r="L80" s="132">
        <f>E80/(Table112348[[#This Row],[b (mm)]]*Z80)</f>
        <v>1.5219456487478101E-3</v>
      </c>
      <c r="M80" s="132">
        <f>Table112348[[#This Row],[M (KN.mm)]]/(Table112348[[#This Row],[b (mm)]]*Table112348[[#This Row],[d (mm)]])</f>
        <v>1.1597225843458312</v>
      </c>
      <c r="N80" s="132">
        <f>Table112348[[#This Row],[M (KN.mm)]]/(Table112348[[#This Row],[b (mm)]]*Table112348[[#This Row],[h (mm)]])</f>
        <v>1.004295846237627</v>
      </c>
      <c r="O80" s="145">
        <f>Table112348[[#This Row],[M (KN.mm)]]/(Table112348[[#This Row],[b (mm)]]*Table112348[[#This Row],[h (mm)]]*Table112348[[#This Row],[L(mm)]])</f>
        <v>6.589867757464744E-4</v>
      </c>
      <c r="P80" s="145">
        <f>Table112348[[#This Row],[M (KN.mm)]]/(Table112348[[#This Row],[b (mm)]]*Table112348[[#This Row],[d (mm)]]*Table112348[[#This Row],[L(mm)]])</f>
        <v>7.6097282437390492E-4</v>
      </c>
      <c r="Q80" s="145">
        <f>Table112348[[#This Row],[M (KN.mm)]]/(Table112348[[#This Row],[b (mm)]]*Table112348[[#This Row],[h (mm)]]*Table112348[[#This Row],[L(mm)]]*Table112348[[#This Row],[fc (Mpa)]])</f>
        <v>1.9496650170014037E-5</v>
      </c>
      <c r="R80" s="145">
        <f>Table112348[[#This Row],[M (KN.mm)]]/(Table112348[[#This Row],[b (mm)]]*Table112348[[#This Row],[h (mm)]]*Table112348[[#This Row],[L(mm)]]/2)</f>
        <v>1.3179735514929488E-3</v>
      </c>
      <c r="S80" s="133">
        <f>Table112348[[#This Row],[M (KN.mm)]]/(Table112348[[#This Row],[a (mm)]]*Table112348[[#This Row],[b (mm)]]*Table112348[[#This Row],[h (mm)]]*Table112348[[#This Row],[L(mm)]]/2)</f>
        <v>1.7296240833240798E-6</v>
      </c>
      <c r="T80" s="110">
        <f>G80/($AK$5*AH80*0.001*Table112348[[#This Row],[pho (%)]])</f>
        <v>4.9229250865674761E-6</v>
      </c>
      <c r="U80" s="133">
        <f>Table112348[[#This Row],[M (KN.mm)]]/(Table112348[[#This Row],[b (mm)]]*Table112348[[#This Row],[d (mm)]]*Table112348[[#This Row],[pho (%)]])</f>
        <v>1.1833903921896236</v>
      </c>
      <c r="V80" s="110">
        <f>E80*224.8/(2*SQRT(Table112348[[#This Row],[fc (Mpa)]]*145.037)*Table112348[[#This Row],[b (mm)]]*Table112348[[#This Row],[d (mm)]]*(1/25.4)^2)</f>
        <v>1.5762864184628342</v>
      </c>
      <c r="W80" s="145">
        <f>Table112348[[#This Row],[M (KN.mm)]]/$G$83</f>
        <v>0.72413793103448276</v>
      </c>
      <c r="X80" s="110">
        <f t="shared" si="39"/>
        <v>1.5762864184628342</v>
      </c>
      <c r="Y80" s="110">
        <f t="shared" si="40"/>
        <v>762</v>
      </c>
      <c r="Z80" s="110">
        <f t="shared" si="41"/>
        <v>266.7</v>
      </c>
      <c r="AA80" s="132">
        <f t="shared" si="42"/>
        <v>307.97499999999997</v>
      </c>
      <c r="AB80" s="134">
        <f t="shared" si="43"/>
        <v>230.124</v>
      </c>
      <c r="AC80" s="7">
        <v>33.799999999999997</v>
      </c>
      <c r="AD80" s="132">
        <f>Table112348[[#This Row],[pho (%)]]/100*Table112348[[#This Row],[b (mm)]]*Table112348[[#This Row],[h (mm)]]</f>
        <v>694.54990121999992</v>
      </c>
      <c r="AE80" s="135">
        <v>0.98</v>
      </c>
      <c r="AF80" s="110">
        <v>640.5</v>
      </c>
      <c r="AG80" s="132">
        <f>(1/3-0.21*(MIN(Table112348[[#This Row],[b (mm)]],AA80)/MAX(Table112348[[#This Row],[b (mm)]],AA80))*(MIN(Table112348[[#This Row],[b (mm)]],AA80)^4/(12*MAX(Table112348[[#This Row],[b (mm)]],AA80)^4)))*MAX(Table112348[[#This Row],[b (mm)]],AA80)*MIN(Table112348[[#This Row],[b (mm)]],AA80)^3</f>
        <v>1235765925.6938643</v>
      </c>
      <c r="AH80" s="132">
        <f>Table112348[[#This Row],[b (mm)]]*AA80^3/12</f>
        <v>560179304.37881768</v>
      </c>
      <c r="AI80" s="132">
        <f t="shared" si="44"/>
        <v>1524</v>
      </c>
      <c r="AJ80" s="182"/>
      <c r="AK80" s="179"/>
    </row>
    <row r="81" spans="1:37" x14ac:dyDescent="0.25">
      <c r="A81" s="229" t="s">
        <v>185</v>
      </c>
      <c r="B81" s="230" t="s">
        <v>64</v>
      </c>
      <c r="C81" s="180">
        <v>80</v>
      </c>
      <c r="D81" s="130">
        <f>Table112348[[#This Row],[a (mm)]]/Table112348[[#This Row],[d (mm)]]</f>
        <v>2.8571428571428572</v>
      </c>
      <c r="E81" s="230">
        <v>106.75200000000001</v>
      </c>
      <c r="F81" s="127">
        <f>Table112348[[#This Row],[d (mm)]]</f>
        <v>266.7</v>
      </c>
      <c r="G81" s="132">
        <f t="shared" si="45"/>
        <v>81345.024000000005</v>
      </c>
      <c r="H81" s="132">
        <f t="shared" si="46"/>
        <v>5.5136760969555734E-6</v>
      </c>
      <c r="I81" s="132">
        <f>G81/(Table112348[[#This Row],[b (mm)]]*Z81^2)</f>
        <v>4.9696184448908077E-3</v>
      </c>
      <c r="J81" s="132">
        <f t="shared" si="47"/>
        <v>0.68562301564717476</v>
      </c>
      <c r="K81" s="132">
        <f t="shared" si="48"/>
        <v>2.751123940418595E-6</v>
      </c>
      <c r="L81" s="132">
        <f>E81/(Table112348[[#This Row],[b (mm)]]*Z81)</f>
        <v>1.7393664557117828E-3</v>
      </c>
      <c r="M81" s="132">
        <f>Table112348[[#This Row],[M (KN.mm)]]/(Table112348[[#This Row],[b (mm)]]*Table112348[[#This Row],[d (mm)]])</f>
        <v>1.3253972392523785</v>
      </c>
      <c r="N81" s="132">
        <f>Table112348[[#This Row],[M (KN.mm)]]/(Table112348[[#This Row],[b (mm)]]*Table112348[[#This Row],[h (mm)]])</f>
        <v>1.1477666814144307</v>
      </c>
      <c r="O81" s="145">
        <f>Table112348[[#This Row],[M (KN.mm)]]/(Table112348[[#This Row],[b (mm)]]*Table112348[[#This Row],[h (mm)]]*Table112348[[#This Row],[L(mm)]])</f>
        <v>7.5312774371025638E-4</v>
      </c>
      <c r="P81" s="145">
        <f>Table112348[[#This Row],[M (KN.mm)]]/(Table112348[[#This Row],[b (mm)]]*Table112348[[#This Row],[d (mm)]]*Table112348[[#This Row],[L(mm)]])</f>
        <v>8.6968322785589138E-4</v>
      </c>
      <c r="Q81" s="145">
        <f>Table112348[[#This Row],[M (KN.mm)]]/(Table112348[[#This Row],[b (mm)]]*Table112348[[#This Row],[h (mm)]]*Table112348[[#This Row],[L(mm)]]*Table112348[[#This Row],[fc (Mpa)]])</f>
        <v>2.2281885908587468E-5</v>
      </c>
      <c r="R81" s="145">
        <f>Table112348[[#This Row],[M (KN.mm)]]/(Table112348[[#This Row],[b (mm)]]*Table112348[[#This Row],[h (mm)]]*Table112348[[#This Row],[L(mm)]]/2)</f>
        <v>1.5062554874205128E-3</v>
      </c>
      <c r="S81" s="133">
        <f>Table112348[[#This Row],[M (KN.mm)]]/(Table112348[[#This Row],[a (mm)]]*Table112348[[#This Row],[b (mm)]]*Table112348[[#This Row],[h (mm)]]*Table112348[[#This Row],[L(mm)]]/2)</f>
        <v>1.9767132380846627E-6</v>
      </c>
      <c r="T81" s="110">
        <f>G81/($AK$5*AH81*0.001*Table112348[[#This Row],[pho (%)]])</f>
        <v>5.6262000989342584E-6</v>
      </c>
      <c r="U81" s="133">
        <f>Table112348[[#This Row],[M (KN.mm)]]/(Table112348[[#This Row],[b (mm)]]*Table112348[[#This Row],[d (mm)]]*Table112348[[#This Row],[pho (%)]])</f>
        <v>1.3524461625024271</v>
      </c>
      <c r="V81" s="110">
        <f>E81*224.8/(2*SQRT(Table112348[[#This Row],[fc (Mpa)]]*145.037)*Table112348[[#This Row],[b (mm)]]*Table112348[[#This Row],[d (mm)]]*(1/25.4)^2)</f>
        <v>1.8014701925289536</v>
      </c>
      <c r="W81" s="145">
        <f>Table112348[[#This Row],[M (KN.mm)]]/$G$83</f>
        <v>0.82758620689655171</v>
      </c>
      <c r="X81" s="110">
        <f t="shared" si="39"/>
        <v>1.8014701925289536</v>
      </c>
      <c r="Y81" s="110">
        <f t="shared" si="40"/>
        <v>762</v>
      </c>
      <c r="Z81" s="110">
        <f t="shared" si="41"/>
        <v>266.7</v>
      </c>
      <c r="AA81" s="132">
        <f t="shared" si="42"/>
        <v>307.97499999999997</v>
      </c>
      <c r="AB81" s="134">
        <f t="shared" si="43"/>
        <v>230.124</v>
      </c>
      <c r="AC81" s="7">
        <v>33.799999999999997</v>
      </c>
      <c r="AD81" s="132">
        <f>Table112348[[#This Row],[pho (%)]]/100*Table112348[[#This Row],[b (mm)]]*Table112348[[#This Row],[h (mm)]]</f>
        <v>694.54990121999992</v>
      </c>
      <c r="AE81" s="135">
        <v>0.98</v>
      </c>
      <c r="AF81" s="110">
        <v>640.5</v>
      </c>
      <c r="AG81" s="132">
        <f>(1/3-0.21*(MIN(Table112348[[#This Row],[b (mm)]],AA81)/MAX(Table112348[[#This Row],[b (mm)]],AA81))*(MIN(Table112348[[#This Row],[b (mm)]],AA81)^4/(12*MAX(Table112348[[#This Row],[b (mm)]],AA81)^4)))*MAX(Table112348[[#This Row],[b (mm)]],AA81)*MIN(Table112348[[#This Row],[b (mm)]],AA81)^3</f>
        <v>1235765925.6938643</v>
      </c>
      <c r="AH81" s="132">
        <f>Table112348[[#This Row],[b (mm)]]*AA81^3/12</f>
        <v>560179304.37881768</v>
      </c>
      <c r="AI81" s="132">
        <f t="shared" si="44"/>
        <v>1524</v>
      </c>
      <c r="AJ81" s="182"/>
      <c r="AK81" s="179"/>
    </row>
    <row r="82" spans="1:37" x14ac:dyDescent="0.25">
      <c r="A82" s="229" t="s">
        <v>185</v>
      </c>
      <c r="B82" s="230" t="s">
        <v>65</v>
      </c>
      <c r="C82" s="180">
        <v>81</v>
      </c>
      <c r="D82" s="130">
        <f>Table112348[[#This Row],[a (mm)]]/Table112348[[#This Row],[d (mm)]]</f>
        <v>2.8571428571428572</v>
      </c>
      <c r="E82" s="230">
        <v>120.096</v>
      </c>
      <c r="F82" s="127">
        <f>Table112348[[#This Row],[d (mm)]]</f>
        <v>266.7</v>
      </c>
      <c r="G82" s="132">
        <f t="shared" si="45"/>
        <v>91513.152000000002</v>
      </c>
      <c r="H82" s="132">
        <f t="shared" si="46"/>
        <v>6.2028856090750193E-6</v>
      </c>
      <c r="I82" s="132">
        <f>G82/(Table112348[[#This Row],[b (mm)]]*Z82^2)</f>
        <v>5.5908207505021585E-3</v>
      </c>
      <c r="J82" s="132">
        <f t="shared" si="47"/>
        <v>0.77132589260307161</v>
      </c>
      <c r="K82" s="132">
        <f t="shared" si="48"/>
        <v>3.095014432970919E-6</v>
      </c>
      <c r="L82" s="132">
        <f>E82/(Table112348[[#This Row],[b (mm)]]*Z82)</f>
        <v>1.9567872626757555E-3</v>
      </c>
      <c r="M82" s="132">
        <f>Table112348[[#This Row],[M (KN.mm)]]/(Table112348[[#This Row],[b (mm)]]*Table112348[[#This Row],[d (mm)]])</f>
        <v>1.4910718941589256</v>
      </c>
      <c r="N82" s="132">
        <f>Table112348[[#This Row],[M (KN.mm)]]/(Table112348[[#This Row],[b (mm)]]*Table112348[[#This Row],[h (mm)]])</f>
        <v>1.2912375165912346</v>
      </c>
      <c r="O82" s="145">
        <f>Table112348[[#This Row],[M (KN.mm)]]/(Table112348[[#This Row],[b (mm)]]*Table112348[[#This Row],[h (mm)]]*Table112348[[#This Row],[L(mm)]])</f>
        <v>8.4726871167403836E-4</v>
      </c>
      <c r="P82" s="145">
        <f>Table112348[[#This Row],[M (KN.mm)]]/(Table112348[[#This Row],[b (mm)]]*Table112348[[#This Row],[d (mm)]]*Table112348[[#This Row],[L(mm)]])</f>
        <v>9.7839363133787774E-4</v>
      </c>
      <c r="Q82" s="145">
        <f>Table112348[[#This Row],[M (KN.mm)]]/(Table112348[[#This Row],[b (mm)]]*Table112348[[#This Row],[h (mm)]]*Table112348[[#This Row],[L(mm)]]*Table112348[[#This Row],[fc (Mpa)]])</f>
        <v>2.5067121647160904E-5</v>
      </c>
      <c r="R82" s="145">
        <f>Table112348[[#This Row],[M (KN.mm)]]/(Table112348[[#This Row],[b (mm)]]*Table112348[[#This Row],[h (mm)]]*Table112348[[#This Row],[L(mm)]]/2)</f>
        <v>1.6945374233480767E-3</v>
      </c>
      <c r="S82" s="133">
        <f>Table112348[[#This Row],[M (KN.mm)]]/(Table112348[[#This Row],[a (mm)]]*Table112348[[#This Row],[b (mm)]]*Table112348[[#This Row],[h (mm)]]*Table112348[[#This Row],[L(mm)]]/2)</f>
        <v>2.2238023928452453E-6</v>
      </c>
      <c r="T82" s="110">
        <f>G82/($AK$5*AH82*0.001*Table112348[[#This Row],[pho (%)]])</f>
        <v>6.3294751113010408E-6</v>
      </c>
      <c r="U82" s="133">
        <f>Table112348[[#This Row],[M (KN.mm)]]/(Table112348[[#This Row],[b (mm)]]*Table112348[[#This Row],[d (mm)]]*Table112348[[#This Row],[pho (%)]])</f>
        <v>1.5215019328152304</v>
      </c>
      <c r="V82" s="110">
        <f>E82*224.8/(2*SQRT(Table112348[[#This Row],[fc (Mpa)]]*145.037)*Table112348[[#This Row],[b (mm)]]*Table112348[[#This Row],[d (mm)]]*(1/25.4)^2)</f>
        <v>2.0266539665950725</v>
      </c>
      <c r="W82" s="145">
        <f>Table112348[[#This Row],[M (KN.mm)]]/$G$83</f>
        <v>0.93103448275862066</v>
      </c>
      <c r="X82" s="110">
        <f t="shared" si="39"/>
        <v>2.0266539665950725</v>
      </c>
      <c r="Y82" s="110">
        <f t="shared" si="40"/>
        <v>762</v>
      </c>
      <c r="Z82" s="110">
        <f t="shared" si="41"/>
        <v>266.7</v>
      </c>
      <c r="AA82" s="132">
        <f t="shared" si="42"/>
        <v>307.97499999999997</v>
      </c>
      <c r="AB82" s="134">
        <f t="shared" si="43"/>
        <v>230.124</v>
      </c>
      <c r="AC82" s="7">
        <v>33.799999999999997</v>
      </c>
      <c r="AD82" s="132">
        <f>Table112348[[#This Row],[pho (%)]]/100*Table112348[[#This Row],[b (mm)]]*Table112348[[#This Row],[h (mm)]]</f>
        <v>694.54990121999992</v>
      </c>
      <c r="AE82" s="135">
        <v>0.98</v>
      </c>
      <c r="AF82" s="110">
        <v>640.5</v>
      </c>
      <c r="AG82" s="132">
        <f>(1/3-0.21*(MIN(Table112348[[#This Row],[b (mm)]],AA82)/MAX(Table112348[[#This Row],[b (mm)]],AA82))*(MIN(Table112348[[#This Row],[b (mm)]],AA82)^4/(12*MAX(Table112348[[#This Row],[b (mm)]],AA82)^4)))*MAX(Table112348[[#This Row],[b (mm)]],AA82)*MIN(Table112348[[#This Row],[b (mm)]],AA82)^3</f>
        <v>1235765925.6938643</v>
      </c>
      <c r="AH82" s="132">
        <f>Table112348[[#This Row],[b (mm)]]*AA82^3/12</f>
        <v>560179304.37881768</v>
      </c>
      <c r="AI82" s="132">
        <f t="shared" si="44"/>
        <v>1524</v>
      </c>
      <c r="AJ82" s="182"/>
      <c r="AK82" s="179"/>
    </row>
    <row r="83" spans="1:37" x14ac:dyDescent="0.25">
      <c r="A83" s="229" t="s">
        <v>185</v>
      </c>
      <c r="B83" s="230" t="s">
        <v>66</v>
      </c>
      <c r="C83" s="180">
        <v>82</v>
      </c>
      <c r="D83" s="130">
        <f>Table112348[[#This Row],[a (mm)]]/Table112348[[#This Row],[d (mm)]]</f>
        <v>2.8571428571428572</v>
      </c>
      <c r="E83" s="230">
        <v>128.99200000000002</v>
      </c>
      <c r="F83" s="127">
        <f>Table112348[[#This Row],[d (mm)]]</f>
        <v>266.7</v>
      </c>
      <c r="G83" s="132">
        <f t="shared" si="45"/>
        <v>98291.90400000001</v>
      </c>
      <c r="H83" s="132">
        <f t="shared" si="46"/>
        <v>6.6623586171546513E-6</v>
      </c>
      <c r="I83" s="132">
        <f>G83/(Table112348[[#This Row],[b (mm)]]*Z83^2)</f>
        <v>6.0049556209097257E-3</v>
      </c>
      <c r="J83" s="132">
        <f t="shared" si="47"/>
        <v>0.82846114390700287</v>
      </c>
      <c r="K83" s="132">
        <f t="shared" si="48"/>
        <v>3.3242747613391358E-6</v>
      </c>
      <c r="L83" s="132">
        <f>E83/(Table112348[[#This Row],[b (mm)]]*Z83)</f>
        <v>2.1017344673184041E-3</v>
      </c>
      <c r="M83" s="132">
        <f>Table112348[[#This Row],[M (KN.mm)]]/(Table112348[[#This Row],[b (mm)]]*Table112348[[#This Row],[d (mm)]])</f>
        <v>1.6015216640966239</v>
      </c>
      <c r="N83" s="132">
        <f>Table112348[[#This Row],[M (KN.mm)]]/(Table112348[[#This Row],[b (mm)]]*Table112348[[#This Row],[h (mm)]])</f>
        <v>1.3868847400424373</v>
      </c>
      <c r="O83" s="145">
        <f>Table112348[[#This Row],[M (KN.mm)]]/(Table112348[[#This Row],[b (mm)]]*Table112348[[#This Row],[h (mm)]]*Table112348[[#This Row],[L(mm)]])</f>
        <v>9.1002935698322653E-4</v>
      </c>
      <c r="P83" s="145">
        <f>Table112348[[#This Row],[M (KN.mm)]]/(Table112348[[#This Row],[b (mm)]]*Table112348[[#This Row],[d (mm)]]*Table112348[[#This Row],[L(mm)]])</f>
        <v>1.050867233659202E-3</v>
      </c>
      <c r="Q83" s="145">
        <f>Table112348[[#This Row],[M (KN.mm)]]/(Table112348[[#This Row],[b (mm)]]*Table112348[[#This Row],[h (mm)]]*Table112348[[#This Row],[L(mm)]]*Table112348[[#This Row],[fc (Mpa)]])</f>
        <v>2.6923945472876527E-5</v>
      </c>
      <c r="R83" s="145">
        <f>Table112348[[#This Row],[M (KN.mm)]]/(Table112348[[#This Row],[b (mm)]]*Table112348[[#This Row],[h (mm)]]*Table112348[[#This Row],[L(mm)]]/2)</f>
        <v>1.8200587139664531E-3</v>
      </c>
      <c r="S83" s="133">
        <f>Table112348[[#This Row],[M (KN.mm)]]/(Table112348[[#This Row],[a (mm)]]*Table112348[[#This Row],[b (mm)]]*Table112348[[#This Row],[h (mm)]]*Table112348[[#This Row],[L(mm)]]/2)</f>
        <v>2.3885284960189673E-6</v>
      </c>
      <c r="T83" s="110">
        <f>G83/($AK$5*AH83*0.001*Table112348[[#This Row],[pho (%)]])</f>
        <v>6.7983251195455629E-6</v>
      </c>
      <c r="U83" s="133">
        <f>Table112348[[#This Row],[M (KN.mm)]]/(Table112348[[#This Row],[b (mm)]]*Table112348[[#This Row],[d (mm)]]*Table112348[[#This Row],[pho (%)]])</f>
        <v>1.6342057796904328</v>
      </c>
      <c r="V83" s="110">
        <f>E83*224.8/(2*SQRT(Table112348[[#This Row],[fc (Mpa)]]*145.037)*Table112348[[#This Row],[b (mm)]]*Table112348[[#This Row],[d (mm)]]*(1/25.4)^2)</f>
        <v>2.176776482639152</v>
      </c>
      <c r="W83" s="145">
        <f>Table112348[[#This Row],[M (KN.mm)]]/$G$83</f>
        <v>1</v>
      </c>
      <c r="X83" s="110">
        <f t="shared" si="39"/>
        <v>2.176776482639152</v>
      </c>
      <c r="Y83" s="110">
        <f t="shared" si="40"/>
        <v>762</v>
      </c>
      <c r="Z83" s="110">
        <f t="shared" si="41"/>
        <v>266.7</v>
      </c>
      <c r="AA83" s="132">
        <f t="shared" si="42"/>
        <v>307.97499999999997</v>
      </c>
      <c r="AB83" s="134">
        <f t="shared" si="43"/>
        <v>230.124</v>
      </c>
      <c r="AC83" s="7">
        <v>33.799999999999997</v>
      </c>
      <c r="AD83" s="132">
        <f>Table112348[[#This Row],[pho (%)]]/100*Table112348[[#This Row],[b (mm)]]*Table112348[[#This Row],[h (mm)]]</f>
        <v>694.54990121999992</v>
      </c>
      <c r="AE83" s="135">
        <v>0.98</v>
      </c>
      <c r="AF83" s="110">
        <v>640.5</v>
      </c>
      <c r="AG83" s="132">
        <f>(1/3-0.21*(MIN(Table112348[[#This Row],[b (mm)]],AA83)/MAX(Table112348[[#This Row],[b (mm)]],AA83))*(MIN(Table112348[[#This Row],[b (mm)]],AA83)^4/(12*MAX(Table112348[[#This Row],[b (mm)]],AA83)^4)))*MAX(Table112348[[#This Row],[b (mm)]],AA83)*MIN(Table112348[[#This Row],[b (mm)]],AA83)^3</f>
        <v>1235765925.6938643</v>
      </c>
      <c r="AH83" s="132">
        <f>Table112348[[#This Row],[b (mm)]]*AA83^3/12</f>
        <v>560179304.37881768</v>
      </c>
      <c r="AI83" s="132">
        <f t="shared" si="44"/>
        <v>1524</v>
      </c>
      <c r="AJ83" s="182"/>
      <c r="AK83" s="179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89"/>
  <sheetViews>
    <sheetView topLeftCell="K1" zoomScaleNormal="100" workbookViewId="0">
      <selection activeCell="T2" sqref="T2"/>
    </sheetView>
  </sheetViews>
  <sheetFormatPr defaultRowHeight="15" x14ac:dyDescent="0.25"/>
  <cols>
    <col min="1" max="1" width="15" style="140" customWidth="1"/>
    <col min="2" max="2" width="8.28515625" style="142" customWidth="1"/>
    <col min="3" max="3" width="7.42578125" style="2" customWidth="1"/>
    <col min="4" max="4" width="15" style="2" customWidth="1"/>
    <col min="5" max="5" width="10.85546875" style="2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7.7109375" style="2" customWidth="1"/>
    <col min="11" max="11" width="8.85546875" style="2" customWidth="1"/>
    <col min="12" max="12" width="8.42578125" style="2" customWidth="1"/>
    <col min="13" max="17" width="10" style="2" customWidth="1"/>
    <col min="18" max="23" width="14.7109375" style="2" customWidth="1"/>
    <col min="24" max="24" width="15.71093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customWidth="1"/>
    <col min="37" max="37" width="13.5703125" style="2" customWidth="1"/>
    <col min="38" max="38" width="12.42578125" style="1" customWidth="1"/>
    <col min="39" max="39" width="9.140625" style="1"/>
    <col min="40" max="16384" width="9.140625" style="2"/>
  </cols>
  <sheetData>
    <row r="1" spans="1:39" ht="80.25" customHeight="1" x14ac:dyDescent="0.25">
      <c r="A1" s="151" t="s">
        <v>59</v>
      </c>
      <c r="B1" s="141" t="s">
        <v>57</v>
      </c>
      <c r="C1" s="104" t="s">
        <v>58</v>
      </c>
      <c r="D1" s="104" t="s">
        <v>194</v>
      </c>
      <c r="E1" s="17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17" t="s">
        <v>19</v>
      </c>
      <c r="M1" s="17" t="s">
        <v>53</v>
      </c>
      <c r="N1" s="17" t="s">
        <v>54</v>
      </c>
      <c r="O1" s="17" t="s">
        <v>79</v>
      </c>
      <c r="P1" s="17" t="s">
        <v>81</v>
      </c>
      <c r="Q1" s="17" t="s">
        <v>82</v>
      </c>
      <c r="R1" s="17" t="s">
        <v>84</v>
      </c>
      <c r="S1" s="17" t="s">
        <v>85</v>
      </c>
      <c r="T1" s="3" t="s">
        <v>296</v>
      </c>
      <c r="U1" s="17" t="s">
        <v>90</v>
      </c>
      <c r="V1" s="17" t="s">
        <v>139</v>
      </c>
      <c r="W1" s="17" t="s">
        <v>102</v>
      </c>
      <c r="X1" s="17" t="s">
        <v>295</v>
      </c>
      <c r="Y1" s="17" t="s">
        <v>5</v>
      </c>
      <c r="Z1" s="17" t="s">
        <v>9</v>
      </c>
      <c r="AA1" s="17" t="s">
        <v>12</v>
      </c>
      <c r="AB1" s="2" t="s">
        <v>76</v>
      </c>
      <c r="AC1" s="17" t="s">
        <v>77</v>
      </c>
      <c r="AD1" s="17" t="s">
        <v>10</v>
      </c>
      <c r="AE1" s="17" t="s">
        <v>11</v>
      </c>
      <c r="AF1" s="17" t="s">
        <v>18</v>
      </c>
      <c r="AG1" s="17" t="s">
        <v>15</v>
      </c>
      <c r="AH1" s="17" t="s">
        <v>17</v>
      </c>
      <c r="AI1" s="17" t="s">
        <v>78</v>
      </c>
      <c r="AJ1" t="s">
        <v>50</v>
      </c>
      <c r="AK1" s="1" t="s">
        <v>75</v>
      </c>
      <c r="AL1" s="1" t="s">
        <v>80</v>
      </c>
      <c r="AM1" s="1" t="s">
        <v>89</v>
      </c>
    </row>
    <row r="2" spans="1:39" x14ac:dyDescent="0.25">
      <c r="A2" s="152" t="s">
        <v>94</v>
      </c>
      <c r="B2" s="143">
        <v>1</v>
      </c>
      <c r="C2" s="111">
        <v>1</v>
      </c>
      <c r="D2" s="111">
        <f>Table112345[[#This Row],[a (mm)]]/Table112345[[#This Row],[d (mm)]]</f>
        <v>3.01</v>
      </c>
      <c r="E2" s="111">
        <v>58.268800000000006</v>
      </c>
      <c r="F2" s="137">
        <f>Table112345[[#This Row],[d (mm)]]</f>
        <v>232</v>
      </c>
      <c r="G2" s="111">
        <f>E2*Y2</f>
        <v>40690.268415999999</v>
      </c>
      <c r="H2" s="111">
        <f t="shared" ref="H2:H8" si="0">G2/($AL$5*AH2*0.001)</f>
        <v>2.1424453931748079E-6</v>
      </c>
      <c r="I2" s="111">
        <f>G2/(Table112345[[#This Row],[b (mm)]]*Z2^2)</f>
        <v>2.4786473713962688E-3</v>
      </c>
      <c r="J2" s="111">
        <f t="shared" ref="J2:J8" si="1">G2/(AD2*AF2*Z2*0.001)</f>
        <v>0.392106165884194</v>
      </c>
      <c r="K2" s="111">
        <f t="shared" ref="K2:K8" si="2">E2/($AL$4*AG2*0.001)</f>
        <v>6.7896768503715051E-7</v>
      </c>
      <c r="L2" s="111">
        <f>E2/(Table112345[[#This Row],[b (mm)]]*Z2)</f>
        <v>8.2347088750706619E-4</v>
      </c>
      <c r="M2" s="111">
        <f>Table112345[[#This Row],[M (KN.mm)]]/(Table112345[[#This Row],[b (mm)]]*Table112345[[#This Row],[d (mm)]])</f>
        <v>0.57504619016393443</v>
      </c>
      <c r="N2" s="111">
        <f>Table112345[[#This Row],[M (KN.mm)]]/(Table112345[[#This Row],[b (mm)]]*Table112345[[#This Row],[h (mm)]])</f>
        <v>0.43741218399355009</v>
      </c>
      <c r="O2" s="111">
        <f>Table112345[[#This Row],[M (KN.mm)]]/(Table112345[[#This Row],[b (mm)]]*Table112345[[#This Row],[h (mm)]]*Table112345[[#This Row],[L(mm)]])</f>
        <v>3.1310822046782399E-4</v>
      </c>
      <c r="P2" s="111">
        <f>Table112345[[#This Row],[M (KN.mm)]]/(Table112345[[#This Row],[b (mm)]]*Table112345[[#This Row],[d (mm)]]*Table112345[[#This Row],[L(mm)]])</f>
        <v>4.1162934156330308E-4</v>
      </c>
      <c r="Q2" s="111">
        <f>Table112345[[#This Row],[M (KN.mm)]]/(Table112345[[#This Row],[b (mm)]]*Table112345[[#This Row],[h (mm)]]*Table112345[[#This Row],[L(mm)]]*Table112345[[#This Row],[fc (Mpa)]])</f>
        <v>4.7368868452015735E-6</v>
      </c>
      <c r="R2" s="111">
        <f>Table112345[[#This Row],[M (KN.mm)]]/(Table112345[[#This Row],[b (mm)]]*Table112345[[#This Row],[h (mm)]]*Table112345[[#This Row],[L(mm)]]/2)</f>
        <v>6.2621644093564799E-4</v>
      </c>
      <c r="S2" s="111">
        <f>Table112345[[#This Row],[M (KN.mm)]]/(Table112345[[#This Row],[a (mm)]]*Table112345[[#This Row],[b (mm)]]*Table112345[[#This Row],[h (mm)]]*Table112345[[#This Row],[L(mm)]]/2)</f>
        <v>8.9674710868319404E-7</v>
      </c>
      <c r="T2" s="111">
        <f>G2/($AL$5*AH2*0.001*Table112345[[#This Row],[pho (%)]])</f>
        <v>1.7853711609790065E-6</v>
      </c>
      <c r="U2" s="111">
        <f>Table112345[[#This Row],[M (KN.mm)]]/(Table112345[[#This Row],[b (mm)]]*Table112345[[#This Row],[d (mm)]]*Table112345[[#This Row],[pho (%)]])</f>
        <v>0.47920515846994532</v>
      </c>
      <c r="V2" s="111">
        <f>E2*224.8/(2*SQRT(Table112345[[#This Row],[fc (Mpa)]]*145.037)*Table112345[[#This Row],[b (mm)]]*Table112345[[#This Row],[d (mm)]]*(1/25.4)^2)</f>
        <v>0.60987644581154388</v>
      </c>
      <c r="W2" s="111">
        <f>Table112345[[#This Row],[M (KN.mm)]]/$G$11</f>
        <v>0.2181901639344262</v>
      </c>
      <c r="X2" s="110">
        <f>V2</f>
        <v>0.60987644581154388</v>
      </c>
      <c r="Y2" s="111">
        <f>3.01*Table112345[[#This Row],[d (mm)]]</f>
        <v>698.31999999999994</v>
      </c>
      <c r="Z2" s="111">
        <v>232</v>
      </c>
      <c r="AA2" s="111">
        <v>305</v>
      </c>
      <c r="AB2" s="111">
        <v>305</v>
      </c>
      <c r="AC2" s="7">
        <v>66.099999999999994</v>
      </c>
      <c r="AD2" s="111">
        <v>852</v>
      </c>
      <c r="AE2" s="111">
        <v>1.2</v>
      </c>
      <c r="AF2" s="111">
        <v>525</v>
      </c>
      <c r="AG2" s="111">
        <f>(1/3-0.21*(MIN(Table112345[[#This Row],[b (mm)]],AA2)/MAX(Table112345[[#This Row],[b (mm)]],AA2))*(MIN(Table112345[[#This Row],[b (mm)]],AA2)^4/(12*MAX(Table112345[[#This Row],[b (mm)]],AA2)^4)))*MAX(Table112345[[#This Row],[b (mm)]],AA2)*MIN(Table112345[[#This Row],[b (mm)]],AA2)^3</f>
        <v>2733111322.395833</v>
      </c>
      <c r="AH2" s="111">
        <f>Table112345[[#This Row],[b (mm)]]*AA2^3/12</f>
        <v>721137552.08333337</v>
      </c>
      <c r="AI2" s="111">
        <v>1397</v>
      </c>
      <c r="AK2" s="1"/>
    </row>
    <row r="3" spans="1:39" x14ac:dyDescent="0.25">
      <c r="A3" s="152" t="s">
        <v>94</v>
      </c>
      <c r="B3" s="143">
        <v>2</v>
      </c>
      <c r="C3" s="111">
        <v>2</v>
      </c>
      <c r="D3" s="111">
        <f>Table112345[[#This Row],[a (mm)]]/Table112345[[#This Row],[d (mm)]]</f>
        <v>3.01</v>
      </c>
      <c r="E3" s="111">
        <v>62.272000000000006</v>
      </c>
      <c r="F3" s="137">
        <f>Table112345[[#This Row],[d (mm)]]</f>
        <v>232</v>
      </c>
      <c r="G3" s="111">
        <f t="shared" ref="G3:G8" si="3">E3*Y3</f>
        <v>43485.783040000002</v>
      </c>
      <c r="H3" s="111">
        <f t="shared" si="0"/>
        <v>2.2896362980494132E-6</v>
      </c>
      <c r="I3" s="111">
        <f>G3/(Table112345[[#This Row],[b (mm)]]*Z3^2)</f>
        <v>2.6489361221028831E-3</v>
      </c>
      <c r="J3" s="111">
        <f t="shared" si="1"/>
        <v>0.41904475743348985</v>
      </c>
      <c r="K3" s="111">
        <f t="shared" si="2"/>
        <v>7.2561431988703105E-7</v>
      </c>
      <c r="L3" s="111">
        <f>E3/(Table112345[[#This Row],[b (mm)]]*Z3)</f>
        <v>8.8004522328999444E-4</v>
      </c>
      <c r="M3" s="111">
        <f>Table112345[[#This Row],[M (KN.mm)]]/(Table112345[[#This Row],[b (mm)]]*Table112345[[#This Row],[d (mm)]])</f>
        <v>0.61455318032786888</v>
      </c>
      <c r="N3" s="111">
        <f>Table112345[[#This Row],[M (KN.mm)]]/(Table112345[[#This Row],[b (mm)]]*Table112345[[#This Row],[h (mm)]])</f>
        <v>0.46746340274119863</v>
      </c>
      <c r="O3" s="111">
        <f>Table112345[[#This Row],[M (KN.mm)]]/(Table112345[[#This Row],[b (mm)]]*Table112345[[#This Row],[h (mm)]]*Table112345[[#This Row],[L(mm)]])</f>
        <v>3.3461947225568977E-4</v>
      </c>
      <c r="P3" s="111">
        <f>Table112345[[#This Row],[M (KN.mm)]]/(Table112345[[#This Row],[b (mm)]]*Table112345[[#This Row],[d (mm)]]*Table112345[[#This Row],[L(mm)]])</f>
        <v>4.3990921999131633E-4</v>
      </c>
      <c r="Q3" s="111">
        <f>Table112345[[#This Row],[M (KN.mm)]]/(Table112345[[#This Row],[b (mm)]]*Table112345[[#This Row],[h (mm)]]*Table112345[[#This Row],[L(mm)]]*Table112345[[#This Row],[fc (Mpa)]])</f>
        <v>5.0623218192993917E-6</v>
      </c>
      <c r="R3" s="111">
        <f>Table112345[[#This Row],[M (KN.mm)]]/(Table112345[[#This Row],[b (mm)]]*Table112345[[#This Row],[h (mm)]]*Table112345[[#This Row],[L(mm)]]/2)</f>
        <v>6.6923894451137954E-4</v>
      </c>
      <c r="S3" s="111">
        <f>Table112345[[#This Row],[M (KN.mm)]]/(Table112345[[#This Row],[a (mm)]]*Table112345[[#This Row],[b (mm)]]*Table112345[[#This Row],[h (mm)]]*Table112345[[#This Row],[L(mm)]]/2)</f>
        <v>9.5835568866906242E-7</v>
      </c>
      <c r="T3" s="111">
        <f>G3/($AL$5*AH3*0.001*Table112345[[#This Row],[pho (%)]])</f>
        <v>1.9080302483745108E-6</v>
      </c>
      <c r="U3" s="111">
        <f>Table112345[[#This Row],[M (KN.mm)]]/(Table112345[[#This Row],[b (mm)]]*Table112345[[#This Row],[d (mm)]]*Table112345[[#This Row],[pho (%)]])</f>
        <v>0.51212765027322404</v>
      </c>
      <c r="V3" s="111">
        <f>E3*224.8/(2*SQRT(Table112345[[#This Row],[fc (Mpa)]]*145.037)*Table112345[[#This Row],[b (mm)]]*Table112345[[#This Row],[d (mm)]]*(1/25.4)^2)</f>
        <v>0.65177635430241332</v>
      </c>
      <c r="W3" s="111">
        <f>Table112345[[#This Row],[M (KN.mm)]]/$G$11</f>
        <v>0.23318032786885245</v>
      </c>
      <c r="X3" s="110">
        <f t="shared" ref="X3:X33" si="4">V3</f>
        <v>0.65177635430241332</v>
      </c>
      <c r="Y3" s="111">
        <f>3.01*Table112345[[#This Row],[d (mm)]]</f>
        <v>698.31999999999994</v>
      </c>
      <c r="Z3" s="111">
        <v>232</v>
      </c>
      <c r="AA3" s="111">
        <v>305</v>
      </c>
      <c r="AB3" s="111">
        <v>305</v>
      </c>
      <c r="AC3" s="7">
        <v>66.099999999999994</v>
      </c>
      <c r="AD3" s="111">
        <v>852</v>
      </c>
      <c r="AE3" s="111">
        <v>1.2</v>
      </c>
      <c r="AF3" s="111">
        <v>525</v>
      </c>
      <c r="AG3" s="111">
        <f>(1/3-0.21*(MIN(Table112345[[#This Row],[b (mm)]],AA3)/MAX(Table112345[[#This Row],[b (mm)]],AA3))*(MIN(Table112345[[#This Row],[b (mm)]],AA3)^4/(12*MAX(Table112345[[#This Row],[b (mm)]],AA3)^4)))*MAX(Table112345[[#This Row],[b (mm)]],AA3)*MIN(Table112345[[#This Row],[b (mm)]],AA3)^3</f>
        <v>2733111322.395833</v>
      </c>
      <c r="AH3" s="111">
        <f>Table112345[[#This Row],[b (mm)]]*AA3^3/12</f>
        <v>721137552.08333337</v>
      </c>
      <c r="AI3" s="111">
        <v>1397</v>
      </c>
      <c r="AK3" s="1"/>
    </row>
    <row r="4" spans="1:39" x14ac:dyDescent="0.25">
      <c r="A4" s="152" t="s">
        <v>94</v>
      </c>
      <c r="B4" s="143">
        <v>3</v>
      </c>
      <c r="C4" s="111">
        <v>3</v>
      </c>
      <c r="D4" s="111">
        <f>Table112345[[#This Row],[a (mm)]]/Table112345[[#This Row],[d (mm)]]</f>
        <v>3.01</v>
      </c>
      <c r="E4" s="111">
        <v>71.168000000000006</v>
      </c>
      <c r="F4" s="137">
        <f>Table112345[[#This Row],[d (mm)]]</f>
        <v>232</v>
      </c>
      <c r="G4" s="111">
        <f t="shared" si="3"/>
        <v>49698.037759999999</v>
      </c>
      <c r="H4" s="111">
        <f t="shared" si="0"/>
        <v>2.6167271977707578E-6</v>
      </c>
      <c r="I4" s="111">
        <f>G4/(Table112345[[#This Row],[b (mm)]]*Z4^2)</f>
        <v>3.0273555681175806E-3</v>
      </c>
      <c r="J4" s="111">
        <f t="shared" si="1"/>
        <v>0.4789082942097026</v>
      </c>
      <c r="K4" s="111">
        <f t="shared" si="2"/>
        <v>8.2927350844232122E-7</v>
      </c>
      <c r="L4" s="111">
        <f>E4/(Table112345[[#This Row],[b (mm)]]*Z4)</f>
        <v>1.0057659694742793E-3</v>
      </c>
      <c r="M4" s="111">
        <f>Table112345[[#This Row],[M (KN.mm)]]/(Table112345[[#This Row],[b (mm)]]*Table112345[[#This Row],[d (mm)]])</f>
        <v>0.70234649180327868</v>
      </c>
      <c r="N4" s="111">
        <f>Table112345[[#This Row],[M (KN.mm)]]/(Table112345[[#This Row],[b (mm)]]*Table112345[[#This Row],[h (mm)]])</f>
        <v>0.53424388884708407</v>
      </c>
      <c r="O4" s="111">
        <f>Table112345[[#This Row],[M (KN.mm)]]/(Table112345[[#This Row],[b (mm)]]*Table112345[[#This Row],[h (mm)]]*Table112345[[#This Row],[L(mm)]])</f>
        <v>3.8242225400650256E-4</v>
      </c>
      <c r="P4" s="111">
        <f>Table112345[[#This Row],[M (KN.mm)]]/(Table112345[[#This Row],[b (mm)]]*Table112345[[#This Row],[d (mm)]]*Table112345[[#This Row],[L(mm)]])</f>
        <v>5.0275339427579007E-4</v>
      </c>
      <c r="Q4" s="111">
        <f>Table112345[[#This Row],[M (KN.mm)]]/(Table112345[[#This Row],[b (mm)]]*Table112345[[#This Row],[h (mm)]]*Table112345[[#This Row],[L(mm)]]*Table112345[[#This Row],[fc (Mpa)]])</f>
        <v>5.7855106506278761E-6</v>
      </c>
      <c r="R4" s="111">
        <f>Table112345[[#This Row],[M (KN.mm)]]/(Table112345[[#This Row],[b (mm)]]*Table112345[[#This Row],[h (mm)]]*Table112345[[#This Row],[L(mm)]]/2)</f>
        <v>7.6484450801300513E-4</v>
      </c>
      <c r="S4" s="111">
        <f>Table112345[[#This Row],[M (KN.mm)]]/(Table112345[[#This Row],[a (mm)]]*Table112345[[#This Row],[b (mm)]]*Table112345[[#This Row],[h (mm)]]*Table112345[[#This Row],[L(mm)]]/2)</f>
        <v>1.0952636441932141E-6</v>
      </c>
      <c r="T4" s="111">
        <f>G4/($AL$5*AH4*0.001*Table112345[[#This Row],[pho (%)]])</f>
        <v>2.180605998142298E-6</v>
      </c>
      <c r="U4" s="111">
        <f>Table112345[[#This Row],[M (KN.mm)]]/(Table112345[[#This Row],[b (mm)]]*Table112345[[#This Row],[d (mm)]]*Table112345[[#This Row],[pho (%)]])</f>
        <v>0.58528874316939894</v>
      </c>
      <c r="V4" s="111">
        <f>E4*224.8/(2*SQRT(Table112345[[#This Row],[fc (Mpa)]]*145.037)*Table112345[[#This Row],[b (mm)]]*Table112345[[#This Row],[d (mm)]]*(1/25.4)^2)</f>
        <v>0.74488726205990086</v>
      </c>
      <c r="W4" s="111">
        <f>Table112345[[#This Row],[M (KN.mm)]]/$G$11</f>
        <v>0.26649180327868849</v>
      </c>
      <c r="X4" s="110">
        <f t="shared" si="4"/>
        <v>0.74488726205990086</v>
      </c>
      <c r="Y4" s="111">
        <f>3.01*Table112345[[#This Row],[d (mm)]]</f>
        <v>698.31999999999994</v>
      </c>
      <c r="Z4" s="111">
        <v>232</v>
      </c>
      <c r="AA4" s="111">
        <v>305</v>
      </c>
      <c r="AB4" s="111">
        <v>305</v>
      </c>
      <c r="AC4" s="7">
        <v>66.099999999999994</v>
      </c>
      <c r="AD4" s="111">
        <v>852</v>
      </c>
      <c r="AE4" s="111">
        <v>1.2</v>
      </c>
      <c r="AF4" s="111">
        <v>525</v>
      </c>
      <c r="AG4" s="111">
        <f>(1/3-0.21*(MIN(Table112345[[#This Row],[b (mm)]],AA4)/MAX(Table112345[[#This Row],[b (mm)]],AA4))*(MIN(Table112345[[#This Row],[b (mm)]],AA4)^4/(12*MAX(Table112345[[#This Row],[b (mm)]],AA4)^4)))*MAX(Table112345[[#This Row],[b (mm)]],AA4)*MIN(Table112345[[#This Row],[b (mm)]],AA4)^3</f>
        <v>2733111322.395833</v>
      </c>
      <c r="AH4" s="111">
        <f>Table112345[[#This Row],[b (mm)]]*AA4^3/12</f>
        <v>721137552.08333337</v>
      </c>
      <c r="AI4" s="111">
        <v>1397</v>
      </c>
      <c r="AK4" s="126" t="s">
        <v>7</v>
      </c>
      <c r="AL4" s="107">
        <v>31.4</v>
      </c>
    </row>
    <row r="5" spans="1:39" x14ac:dyDescent="0.25">
      <c r="A5" s="152" t="s">
        <v>94</v>
      </c>
      <c r="B5" s="143">
        <v>4</v>
      </c>
      <c r="C5" s="111">
        <v>4</v>
      </c>
      <c r="D5" s="111">
        <f>Table112345[[#This Row],[a (mm)]]/Table112345[[#This Row],[d (mm)]]</f>
        <v>3.01</v>
      </c>
      <c r="E5" s="111">
        <v>80.064000000000007</v>
      </c>
      <c r="F5" s="137">
        <f>Table112345[[#This Row],[d (mm)]]</f>
        <v>232</v>
      </c>
      <c r="G5" s="111">
        <f t="shared" si="3"/>
        <v>55910.292479999996</v>
      </c>
      <c r="H5" s="111">
        <f t="shared" si="0"/>
        <v>2.943818097492102E-6</v>
      </c>
      <c r="I5" s="111">
        <f>G5/(Table112345[[#This Row],[b (mm)]]*Z5^2)</f>
        <v>3.405775014132278E-3</v>
      </c>
      <c r="J5" s="111">
        <f t="shared" si="1"/>
        <v>0.53877183098591541</v>
      </c>
      <c r="K5" s="111">
        <f t="shared" si="2"/>
        <v>9.3293269699761139E-7</v>
      </c>
      <c r="L5" s="111">
        <f>E5/(Table112345[[#This Row],[b (mm)]]*Z5)</f>
        <v>1.1314867156585642E-3</v>
      </c>
      <c r="M5" s="111">
        <f>Table112345[[#This Row],[M (KN.mm)]]/(Table112345[[#This Row],[b (mm)]]*Table112345[[#This Row],[d (mm)]])</f>
        <v>0.79013980327868849</v>
      </c>
      <c r="N5" s="111">
        <f>Table112345[[#This Row],[M (KN.mm)]]/(Table112345[[#This Row],[b (mm)]]*Table112345[[#This Row],[h (mm)]])</f>
        <v>0.60102437495296956</v>
      </c>
      <c r="O5" s="111">
        <f>Table112345[[#This Row],[M (KN.mm)]]/(Table112345[[#This Row],[b (mm)]]*Table112345[[#This Row],[h (mm)]]*Table112345[[#This Row],[L(mm)]])</f>
        <v>4.3022503575731541E-4</v>
      </c>
      <c r="P5" s="111">
        <f>Table112345[[#This Row],[M (KN.mm)]]/(Table112345[[#This Row],[b (mm)]]*Table112345[[#This Row],[d (mm)]]*Table112345[[#This Row],[L(mm)]])</f>
        <v>5.655975685602638E-4</v>
      </c>
      <c r="Q5" s="111">
        <f>Table112345[[#This Row],[M (KN.mm)]]/(Table112345[[#This Row],[b (mm)]]*Table112345[[#This Row],[h (mm)]]*Table112345[[#This Row],[L(mm)]]*Table112345[[#This Row],[fc (Mpa)]])</f>
        <v>6.5086994819563597E-6</v>
      </c>
      <c r="R5" s="111">
        <f>Table112345[[#This Row],[M (KN.mm)]]/(Table112345[[#This Row],[b (mm)]]*Table112345[[#This Row],[h (mm)]]*Table112345[[#This Row],[L(mm)]]/2)</f>
        <v>8.6045007151463082E-4</v>
      </c>
      <c r="S5" s="111">
        <f>Table112345[[#This Row],[M (KN.mm)]]/(Table112345[[#This Row],[a (mm)]]*Table112345[[#This Row],[b (mm)]]*Table112345[[#This Row],[h (mm)]]*Table112345[[#This Row],[L(mm)]]/2)</f>
        <v>1.2321715997173658E-6</v>
      </c>
      <c r="T5" s="111">
        <f>G5/($AL$5*AH5*0.001*Table112345[[#This Row],[pho (%)]])</f>
        <v>2.4531817479100853E-6</v>
      </c>
      <c r="U5" s="111">
        <f>Table112345[[#This Row],[M (KN.mm)]]/(Table112345[[#This Row],[b (mm)]]*Table112345[[#This Row],[d (mm)]]*Table112345[[#This Row],[pho (%)]])</f>
        <v>0.65844983606557372</v>
      </c>
      <c r="V5" s="111">
        <f>E5*224.8/(2*SQRT(Table112345[[#This Row],[fc (Mpa)]]*145.037)*Table112345[[#This Row],[b (mm)]]*Table112345[[#This Row],[d (mm)]]*(1/25.4)^2)</f>
        <v>0.83799816981738839</v>
      </c>
      <c r="W5" s="111">
        <f>Table112345[[#This Row],[M (KN.mm)]]/$G$11</f>
        <v>0.29980327868852452</v>
      </c>
      <c r="X5" s="110">
        <f t="shared" si="4"/>
        <v>0.83799816981738839</v>
      </c>
      <c r="Y5" s="111">
        <f>3.01*Table112345[[#This Row],[d (mm)]]</f>
        <v>698.31999999999994</v>
      </c>
      <c r="Z5" s="111">
        <v>232</v>
      </c>
      <c r="AA5" s="111">
        <v>305</v>
      </c>
      <c r="AB5" s="111">
        <v>305</v>
      </c>
      <c r="AC5" s="7">
        <v>66.099999999999994</v>
      </c>
      <c r="AD5" s="111">
        <v>852</v>
      </c>
      <c r="AE5" s="111">
        <v>1.2</v>
      </c>
      <c r="AF5" s="111">
        <v>525</v>
      </c>
      <c r="AG5" s="111">
        <f>(1/3-0.21*(MIN(Table112345[[#This Row],[b (mm)]],AA5)/MAX(Table112345[[#This Row],[b (mm)]],AA5))*(MIN(Table112345[[#This Row],[b (mm)]],AA5)^4/(12*MAX(Table112345[[#This Row],[b (mm)]],AA5)^4)))*MAX(Table112345[[#This Row],[b (mm)]],AA5)*MIN(Table112345[[#This Row],[b (mm)]],AA5)^3</f>
        <v>2733111322.395833</v>
      </c>
      <c r="AH5" s="111">
        <f>Table112345[[#This Row],[b (mm)]]*AA5^3/12</f>
        <v>721137552.08333337</v>
      </c>
      <c r="AI5" s="111">
        <v>1397</v>
      </c>
      <c r="AK5" s="126" t="s">
        <v>8</v>
      </c>
      <c r="AL5" s="107">
        <f>4700*SQRT(AL4)</f>
        <v>26336.780365109171</v>
      </c>
    </row>
    <row r="6" spans="1:39" x14ac:dyDescent="0.25">
      <c r="A6" s="152" t="s">
        <v>94</v>
      </c>
      <c r="B6" s="143">
        <v>5</v>
      </c>
      <c r="C6" s="111">
        <v>5</v>
      </c>
      <c r="D6" s="111">
        <f>Table112345[[#This Row],[a (mm)]]/Table112345[[#This Row],[d (mm)]]</f>
        <v>3.01</v>
      </c>
      <c r="E6" s="111">
        <v>88.960000000000008</v>
      </c>
      <c r="F6" s="137">
        <f>Table112345[[#This Row],[d (mm)]]</f>
        <v>232</v>
      </c>
      <c r="G6" s="111">
        <f t="shared" si="3"/>
        <v>62122.547200000001</v>
      </c>
      <c r="H6" s="111">
        <f t="shared" si="0"/>
        <v>3.270908997213447E-6</v>
      </c>
      <c r="I6" s="111">
        <f>G6/(Table112345[[#This Row],[b (mm)]]*Z6^2)</f>
        <v>3.7841944601469759E-3</v>
      </c>
      <c r="J6" s="111">
        <f t="shared" si="1"/>
        <v>0.59863536776212833</v>
      </c>
      <c r="K6" s="111">
        <f t="shared" si="2"/>
        <v>1.0365918855529014E-6</v>
      </c>
      <c r="L6" s="111">
        <f>E6/(Table112345[[#This Row],[b (mm)]]*Z6)</f>
        <v>1.2572074618428491E-3</v>
      </c>
      <c r="M6" s="111">
        <f>Table112345[[#This Row],[M (KN.mm)]]/(Table112345[[#This Row],[b (mm)]]*Table112345[[#This Row],[d (mm)]])</f>
        <v>0.87793311475409841</v>
      </c>
      <c r="N6" s="111">
        <f>Table112345[[#This Row],[M (KN.mm)]]/(Table112345[[#This Row],[b (mm)]]*Table112345[[#This Row],[h (mm)]])</f>
        <v>0.66780486105885517</v>
      </c>
      <c r="O6" s="111">
        <f>Table112345[[#This Row],[M (KN.mm)]]/(Table112345[[#This Row],[b (mm)]]*Table112345[[#This Row],[h (mm)]]*Table112345[[#This Row],[L(mm)]])</f>
        <v>4.7802781750812826E-4</v>
      </c>
      <c r="P6" s="111">
        <f>Table112345[[#This Row],[M (KN.mm)]]/(Table112345[[#This Row],[b (mm)]]*Table112345[[#This Row],[d (mm)]]*Table112345[[#This Row],[L(mm)]])</f>
        <v>6.2844174284473753E-4</v>
      </c>
      <c r="Q6" s="111">
        <f>Table112345[[#This Row],[M (KN.mm)]]/(Table112345[[#This Row],[b (mm)]]*Table112345[[#This Row],[h (mm)]]*Table112345[[#This Row],[L(mm)]]*Table112345[[#This Row],[fc (Mpa)]])</f>
        <v>7.2318883132848449E-6</v>
      </c>
      <c r="R6" s="111">
        <f>Table112345[[#This Row],[M (KN.mm)]]/(Table112345[[#This Row],[b (mm)]]*Table112345[[#This Row],[h (mm)]]*Table112345[[#This Row],[L(mm)]]/2)</f>
        <v>9.5605563501625652E-4</v>
      </c>
      <c r="S6" s="111">
        <f>Table112345[[#This Row],[M (KN.mm)]]/(Table112345[[#This Row],[a (mm)]]*Table112345[[#This Row],[b (mm)]]*Table112345[[#This Row],[h (mm)]]*Table112345[[#This Row],[L(mm)]]/2)</f>
        <v>1.3690795552415177E-6</v>
      </c>
      <c r="T6" s="111">
        <f>G6/($AL$5*AH6*0.001*Table112345[[#This Row],[pho (%)]])</f>
        <v>2.7257574976778725E-6</v>
      </c>
      <c r="U6" s="111">
        <f>Table112345[[#This Row],[M (KN.mm)]]/(Table112345[[#This Row],[b (mm)]]*Table112345[[#This Row],[d (mm)]]*Table112345[[#This Row],[pho (%)]])</f>
        <v>0.73161092896174862</v>
      </c>
      <c r="V6" s="111">
        <f>E6*224.8/(2*SQRT(Table112345[[#This Row],[fc (Mpa)]]*145.037)*Table112345[[#This Row],[b (mm)]]*Table112345[[#This Row],[d (mm)]]*(1/25.4)^2)</f>
        <v>0.93110907757487604</v>
      </c>
      <c r="W6" s="111">
        <f>Table112345[[#This Row],[M (KN.mm)]]/$G$11</f>
        <v>0.33311475409836061</v>
      </c>
      <c r="X6" s="110">
        <f t="shared" si="4"/>
        <v>0.93110907757487604</v>
      </c>
      <c r="Y6" s="111">
        <f>3.01*Table112345[[#This Row],[d (mm)]]</f>
        <v>698.31999999999994</v>
      </c>
      <c r="Z6" s="111">
        <v>232</v>
      </c>
      <c r="AA6" s="111">
        <v>305</v>
      </c>
      <c r="AB6" s="111">
        <v>305</v>
      </c>
      <c r="AC6" s="7">
        <v>66.099999999999994</v>
      </c>
      <c r="AD6" s="111">
        <v>852</v>
      </c>
      <c r="AE6" s="111">
        <v>1.2</v>
      </c>
      <c r="AF6" s="111">
        <v>525</v>
      </c>
      <c r="AG6" s="111">
        <f>(1/3-0.21*(MIN(Table112345[[#This Row],[b (mm)]],AA6)/MAX(Table112345[[#This Row],[b (mm)]],AA6))*(MIN(Table112345[[#This Row],[b (mm)]],AA6)^4/(12*MAX(Table112345[[#This Row],[b (mm)]],AA6)^4)))*MAX(Table112345[[#This Row],[b (mm)]],AA6)*MIN(Table112345[[#This Row],[b (mm)]],AA6)^3</f>
        <v>2733111322.395833</v>
      </c>
      <c r="AH6" s="111">
        <f>Table112345[[#This Row],[b (mm)]]*AA6^3/12</f>
        <v>721137552.08333337</v>
      </c>
      <c r="AI6" s="111">
        <v>1397</v>
      </c>
      <c r="AK6" s="126" t="s">
        <v>16</v>
      </c>
      <c r="AL6" s="107">
        <f>AL5/(2*(1+0.15))</f>
        <v>11450.774071786596</v>
      </c>
    </row>
    <row r="7" spans="1:39" x14ac:dyDescent="0.25">
      <c r="A7" s="152" t="s">
        <v>94</v>
      </c>
      <c r="B7" s="143">
        <v>6</v>
      </c>
      <c r="C7" s="111">
        <v>6</v>
      </c>
      <c r="D7" s="111">
        <f>Table112345[[#This Row],[a (mm)]]/Table112345[[#This Row],[d (mm)]]</f>
        <v>3.01</v>
      </c>
      <c r="E7" s="111">
        <v>97.856000000000009</v>
      </c>
      <c r="F7" s="137">
        <f>Table112345[[#This Row],[d (mm)]]</f>
        <v>232</v>
      </c>
      <c r="G7" s="111">
        <f t="shared" si="3"/>
        <v>68334.801919999998</v>
      </c>
      <c r="H7" s="111">
        <f t="shared" si="0"/>
        <v>3.5979998969347916E-6</v>
      </c>
      <c r="I7" s="111">
        <f>G7/(Table112345[[#This Row],[b (mm)]]*Z7^2)</f>
        <v>4.1626139061616734E-3</v>
      </c>
      <c r="J7" s="111">
        <f t="shared" si="1"/>
        <v>0.65849890453834115</v>
      </c>
      <c r="K7" s="111">
        <f t="shared" si="2"/>
        <v>1.1402510741081916E-6</v>
      </c>
      <c r="L7" s="111">
        <f>E7/(Table112345[[#This Row],[b (mm)]]*Z7)</f>
        <v>1.382928208027134E-3</v>
      </c>
      <c r="M7" s="111">
        <f>Table112345[[#This Row],[M (KN.mm)]]/(Table112345[[#This Row],[b (mm)]]*Table112345[[#This Row],[d (mm)]])</f>
        <v>0.96572642622950822</v>
      </c>
      <c r="N7" s="111">
        <f>Table112345[[#This Row],[M (KN.mm)]]/(Table112345[[#This Row],[b (mm)]]*Table112345[[#This Row],[h (mm)]])</f>
        <v>0.73458534716474067</v>
      </c>
      <c r="O7" s="111">
        <f>Table112345[[#This Row],[M (KN.mm)]]/(Table112345[[#This Row],[b (mm)]]*Table112345[[#This Row],[h (mm)]]*Table112345[[#This Row],[L(mm)]])</f>
        <v>5.25830599258941E-4</v>
      </c>
      <c r="P7" s="111">
        <f>Table112345[[#This Row],[M (KN.mm)]]/(Table112345[[#This Row],[b (mm)]]*Table112345[[#This Row],[d (mm)]]*Table112345[[#This Row],[L(mm)]])</f>
        <v>6.9128591712921126E-4</v>
      </c>
      <c r="Q7" s="111">
        <f>Table112345[[#This Row],[M (KN.mm)]]/(Table112345[[#This Row],[b (mm)]]*Table112345[[#This Row],[h (mm)]]*Table112345[[#This Row],[L(mm)]]*Table112345[[#This Row],[fc (Mpa)]])</f>
        <v>7.9550771446133285E-6</v>
      </c>
      <c r="R7" s="111">
        <f>Table112345[[#This Row],[M (KN.mm)]]/(Table112345[[#This Row],[b (mm)]]*Table112345[[#This Row],[h (mm)]]*Table112345[[#This Row],[L(mm)]]/2)</f>
        <v>1.051661198517882E-3</v>
      </c>
      <c r="S7" s="111">
        <f>Table112345[[#This Row],[M (KN.mm)]]/(Table112345[[#This Row],[a (mm)]]*Table112345[[#This Row],[b (mm)]]*Table112345[[#This Row],[h (mm)]]*Table112345[[#This Row],[L(mm)]]/2)</f>
        <v>1.5059875107656694E-6</v>
      </c>
      <c r="T7" s="111">
        <f>G7/($AL$5*AH7*0.001*Table112345[[#This Row],[pho (%)]])</f>
        <v>2.9983332474456598E-6</v>
      </c>
      <c r="U7" s="111">
        <f>Table112345[[#This Row],[M (KN.mm)]]/(Table112345[[#This Row],[b (mm)]]*Table112345[[#This Row],[d (mm)]]*Table112345[[#This Row],[pho (%)]])</f>
        <v>0.80477202185792351</v>
      </c>
      <c r="V7" s="111">
        <f>E7*224.8/(2*SQRT(Table112345[[#This Row],[fc (Mpa)]]*145.037)*Table112345[[#This Row],[b (mm)]]*Table112345[[#This Row],[d (mm)]]*(1/25.4)^2)</f>
        <v>1.0242199853323637</v>
      </c>
      <c r="W7" s="111">
        <f>Table112345[[#This Row],[M (KN.mm)]]/$G$11</f>
        <v>0.3664262295081967</v>
      </c>
      <c r="X7" s="110">
        <f t="shared" si="4"/>
        <v>1.0242199853323637</v>
      </c>
      <c r="Y7" s="111">
        <f>3.01*Table112345[[#This Row],[d (mm)]]</f>
        <v>698.31999999999994</v>
      </c>
      <c r="Z7" s="111">
        <v>232</v>
      </c>
      <c r="AA7" s="111">
        <v>305</v>
      </c>
      <c r="AB7" s="111">
        <v>305</v>
      </c>
      <c r="AC7" s="7">
        <v>66.099999999999994</v>
      </c>
      <c r="AD7" s="111">
        <v>852</v>
      </c>
      <c r="AE7" s="111">
        <v>1.2</v>
      </c>
      <c r="AF7" s="111">
        <v>525</v>
      </c>
      <c r="AG7" s="111">
        <f>(1/3-0.21*(MIN(Table112345[[#This Row],[b (mm)]],AA7)/MAX(Table112345[[#This Row],[b (mm)]],AA7))*(MIN(Table112345[[#This Row],[b (mm)]],AA7)^4/(12*MAX(Table112345[[#This Row],[b (mm)]],AA7)^4)))*MAX(Table112345[[#This Row],[b (mm)]],AA7)*MIN(Table112345[[#This Row],[b (mm)]],AA7)^3</f>
        <v>2733111322.395833</v>
      </c>
      <c r="AH7" s="111">
        <f>Table112345[[#This Row],[b (mm)]]*AA7^3/12</f>
        <v>721137552.08333337</v>
      </c>
      <c r="AI7" s="111">
        <v>1397</v>
      </c>
      <c r="AK7" s="107"/>
    </row>
    <row r="8" spans="1:39" x14ac:dyDescent="0.25">
      <c r="A8" s="152" t="s">
        <v>94</v>
      </c>
      <c r="B8" s="143">
        <v>7</v>
      </c>
      <c r="C8" s="111">
        <v>7</v>
      </c>
      <c r="D8" s="111">
        <f>Table112345[[#This Row],[a (mm)]]/Table112345[[#This Row],[d (mm)]]</f>
        <v>3.01</v>
      </c>
      <c r="E8" s="111">
        <v>106.75200000000001</v>
      </c>
      <c r="F8" s="137">
        <f>Table112345[[#This Row],[d (mm)]]</f>
        <v>232</v>
      </c>
      <c r="G8" s="111">
        <f t="shared" si="3"/>
        <v>74547.056639999995</v>
      </c>
      <c r="H8" s="111">
        <f t="shared" si="0"/>
        <v>3.9250907966561363E-6</v>
      </c>
      <c r="I8" s="111">
        <f>G8/(Table112345[[#This Row],[b (mm)]]*Z8^2)</f>
        <v>4.5410333521763704E-3</v>
      </c>
      <c r="J8" s="111">
        <f t="shared" si="1"/>
        <v>0.71836244131455396</v>
      </c>
      <c r="K8" s="111">
        <f t="shared" si="2"/>
        <v>1.2439102626634818E-6</v>
      </c>
      <c r="L8" s="111">
        <f>E8/(Table112345[[#This Row],[b (mm)]]*Z8)</f>
        <v>1.5086489542114191E-3</v>
      </c>
      <c r="M8" s="111">
        <f>Table112345[[#This Row],[M (KN.mm)]]/(Table112345[[#This Row],[b (mm)]]*Table112345[[#This Row],[d (mm)]])</f>
        <v>1.0535197377049179</v>
      </c>
      <c r="N8" s="111">
        <f>Table112345[[#This Row],[M (KN.mm)]]/(Table112345[[#This Row],[b (mm)]]*Table112345[[#This Row],[h (mm)]])</f>
        <v>0.80136583327062616</v>
      </c>
      <c r="O8" s="111">
        <f>Table112345[[#This Row],[M (KN.mm)]]/(Table112345[[#This Row],[b (mm)]]*Table112345[[#This Row],[h (mm)]]*Table112345[[#This Row],[L(mm)]])</f>
        <v>5.7363338100975385E-4</v>
      </c>
      <c r="P8" s="111">
        <f>Table112345[[#This Row],[M (KN.mm)]]/(Table112345[[#This Row],[b (mm)]]*Table112345[[#This Row],[d (mm)]]*Table112345[[#This Row],[L(mm)]])</f>
        <v>7.5413009141368499E-4</v>
      </c>
      <c r="Q8" s="111">
        <f>Table112345[[#This Row],[M (KN.mm)]]/(Table112345[[#This Row],[b (mm)]]*Table112345[[#This Row],[h (mm)]]*Table112345[[#This Row],[L(mm)]]*Table112345[[#This Row],[fc (Mpa)]])</f>
        <v>8.6782659759418129E-6</v>
      </c>
      <c r="R8" s="111">
        <f>Table112345[[#This Row],[M (KN.mm)]]/(Table112345[[#This Row],[b (mm)]]*Table112345[[#This Row],[h (mm)]]*Table112345[[#This Row],[L(mm)]]/2)</f>
        <v>1.1472667620195077E-3</v>
      </c>
      <c r="S8" s="111">
        <f>Table112345[[#This Row],[M (KN.mm)]]/(Table112345[[#This Row],[a (mm)]]*Table112345[[#This Row],[b (mm)]]*Table112345[[#This Row],[h (mm)]]*Table112345[[#This Row],[L(mm)]]/2)</f>
        <v>1.642895466289821E-6</v>
      </c>
      <c r="T8" s="111">
        <f>G8/($AL$5*AH8*0.001*Table112345[[#This Row],[pho (%)]])</f>
        <v>3.270908997213447E-6</v>
      </c>
      <c r="U8" s="111">
        <f>Table112345[[#This Row],[M (KN.mm)]]/(Table112345[[#This Row],[b (mm)]]*Table112345[[#This Row],[d (mm)]]*Table112345[[#This Row],[pho (%)]])</f>
        <v>0.8779331147540983</v>
      </c>
      <c r="V8" s="111">
        <f>E8*224.8/(2*SQRT(Table112345[[#This Row],[fc (Mpa)]]*145.037)*Table112345[[#This Row],[b (mm)]]*Table112345[[#This Row],[d (mm)]]*(1/25.4)^2)</f>
        <v>1.1173308930898513</v>
      </c>
      <c r="W8" s="111">
        <f>Table112345[[#This Row],[M (KN.mm)]]/$G$11</f>
        <v>0.39973770491803273</v>
      </c>
      <c r="X8" s="110">
        <f t="shared" si="4"/>
        <v>1.1173308930898513</v>
      </c>
      <c r="Y8" s="111">
        <f>3.01*Table112345[[#This Row],[d (mm)]]</f>
        <v>698.31999999999994</v>
      </c>
      <c r="Z8" s="111">
        <v>232</v>
      </c>
      <c r="AA8" s="111">
        <v>305</v>
      </c>
      <c r="AB8" s="111">
        <v>305</v>
      </c>
      <c r="AC8" s="7">
        <v>66.099999999999994</v>
      </c>
      <c r="AD8" s="111">
        <v>852</v>
      </c>
      <c r="AE8" s="111">
        <v>1.2</v>
      </c>
      <c r="AF8" s="111">
        <v>525</v>
      </c>
      <c r="AG8" s="111">
        <f>(1/3-0.21*(MIN(Table112345[[#This Row],[b (mm)]],AA8)/MAX(Table112345[[#This Row],[b (mm)]],AA8))*(MIN(Table112345[[#This Row],[b (mm)]],AA8)^4/(12*MAX(Table112345[[#This Row],[b (mm)]],AA8)^4)))*MAX(Table112345[[#This Row],[b (mm)]],AA8)*MIN(Table112345[[#This Row],[b (mm)]],AA8)^3</f>
        <v>2733111322.395833</v>
      </c>
      <c r="AH8" s="111">
        <f>Table112345[[#This Row],[b (mm)]]*AA8^3/12</f>
        <v>721137552.08333337</v>
      </c>
      <c r="AI8" s="111">
        <v>1397</v>
      </c>
      <c r="AK8" s="107"/>
    </row>
    <row r="9" spans="1:39" x14ac:dyDescent="0.25">
      <c r="A9" s="152" t="s">
        <v>94</v>
      </c>
      <c r="B9" s="143">
        <v>8</v>
      </c>
      <c r="C9" s="111">
        <v>8</v>
      </c>
      <c r="D9" s="111">
        <f>Table112345[[#This Row],[a (mm)]]/Table112345[[#This Row],[d (mm)]]</f>
        <v>3.01</v>
      </c>
      <c r="E9" s="160">
        <v>115.64800000000001</v>
      </c>
      <c r="F9" s="137">
        <f>Table112345[[#This Row],[d (mm)]]</f>
        <v>232</v>
      </c>
      <c r="G9" s="111">
        <f>E9*Y9</f>
        <v>80759.311360000007</v>
      </c>
      <c r="H9" s="111">
        <f>G9/($AL$5*AH9*0.001)</f>
        <v>4.2521816963774813E-6</v>
      </c>
      <c r="I9" s="111">
        <f>G9/(Table112345[[#This Row],[b (mm)]]*Z9^2)</f>
        <v>4.9194527981910692E-3</v>
      </c>
      <c r="J9" s="111">
        <f>G9/(AD9*AF9*Z9*0.001)</f>
        <v>0.77822597809076688</v>
      </c>
      <c r="K9" s="111">
        <f>E9/($AL$4*AG9*0.001)</f>
        <v>1.3475694512187719E-6</v>
      </c>
      <c r="L9" s="111">
        <f>E9/(Table112345[[#This Row],[b (mm)]]*Z9)</f>
        <v>1.634369700395704E-3</v>
      </c>
      <c r="M9" s="111">
        <f>Table112345[[#This Row],[M (KN.mm)]]/(Table112345[[#This Row],[b (mm)]]*Table112345[[#This Row],[d (mm)]])</f>
        <v>1.1413130491803281</v>
      </c>
      <c r="N9" s="111">
        <f>Table112345[[#This Row],[M (KN.mm)]]/(Table112345[[#This Row],[b (mm)]]*Table112345[[#This Row],[h (mm)]])</f>
        <v>0.86814631937651177</v>
      </c>
      <c r="O9" s="111">
        <f>Table112345[[#This Row],[M (KN.mm)]]/(Table112345[[#This Row],[b (mm)]]*Table112345[[#This Row],[h (mm)]]*Table112345[[#This Row],[L(mm)]])</f>
        <v>6.2099164476145331E-4</v>
      </c>
      <c r="P9" s="111">
        <f>Table112345[[#This Row],[M (KN.mm)]]/(Table112345[[#This Row],[b (mm)]]*Table112345[[#This Row],[d (mm)]]*Table112345[[#This Row],[L(mm)]])</f>
        <v>8.1638987781139339E-4</v>
      </c>
      <c r="Q9" s="111">
        <f>Table112345[[#This Row],[M (KN.mm)]]/(Table112345[[#This Row],[b (mm)]]*Table112345[[#This Row],[h (mm)]]*Table112345[[#This Row],[L(mm)]]*Table112345[[#This Row],[fc (Mpa)]])</f>
        <v>9.3947298753623803E-6</v>
      </c>
      <c r="R9" s="111">
        <f>Table112345[[#This Row],[M (KN.mm)]]/(Table112345[[#This Row],[b (mm)]]*Table112345[[#This Row],[h (mm)]]*Table112345[[#This Row],[L(mm)]]/2)</f>
        <v>1.2419832895229066E-3</v>
      </c>
      <c r="S9" s="111">
        <f>Table112345[[#This Row],[M (KN.mm)]]/(Table112345[[#This Row],[a (mm)]]*Table112345[[#This Row],[b (mm)]]*Table112345[[#This Row],[h (mm)]]*Table112345[[#This Row],[L(mm)]]/2)</f>
        <v>1.7785303149314168E-6</v>
      </c>
      <c r="T9" s="111">
        <f>G9/($AL$5*AH9*0.001*Table112345[[#This Row],[pho (%)]])</f>
        <v>3.5434847469812347E-6</v>
      </c>
      <c r="U9" s="111">
        <f>Table112345[[#This Row],[M (KN.mm)]]/(Table112345[[#This Row],[b (mm)]]*Table112345[[#This Row],[d (mm)]]*Table112345[[#This Row],[pho (%)]])</f>
        <v>0.9510942076502733</v>
      </c>
      <c r="V9" s="111">
        <f>E9*224.8/(2*SQRT(Table112345[[#This Row],[fc (Mpa)]]*145.037)*Table112345[[#This Row],[b (mm)]]*Table112345[[#This Row],[d (mm)]]*(1/25.4)^2)</f>
        <v>1.210441800847339</v>
      </c>
      <c r="W9" s="111">
        <f>Table112345[[#This Row],[M (KN.mm)]]/$G$11</f>
        <v>0.43304918032786888</v>
      </c>
      <c r="X9" s="110">
        <f t="shared" si="4"/>
        <v>1.210441800847339</v>
      </c>
      <c r="Y9" s="111">
        <f>3.01*Table112345[[#This Row],[d (mm)]]</f>
        <v>698.31999999999994</v>
      </c>
      <c r="Z9" s="111">
        <v>232</v>
      </c>
      <c r="AA9" s="111">
        <v>305</v>
      </c>
      <c r="AB9" s="111">
        <v>305</v>
      </c>
      <c r="AC9" s="7">
        <v>66.099999999999994</v>
      </c>
      <c r="AD9" s="111">
        <v>852</v>
      </c>
      <c r="AE9" s="111">
        <v>1.2</v>
      </c>
      <c r="AF9" s="111">
        <v>525</v>
      </c>
      <c r="AG9" s="111">
        <f>(1/3-0.21*(MIN(Table112345[[#This Row],[b (mm)]],AA9)/MAX(Table112345[[#This Row],[b (mm)]],AA9))*(MIN(Table112345[[#This Row],[b (mm)]],AA9)^4/(12*MAX(Table112345[[#This Row],[b (mm)]],AA9)^4)))*MAX(Table112345[[#This Row],[b (mm)]],AA9)*MIN(Table112345[[#This Row],[b (mm)]],AA9)^3</f>
        <v>2733111322.395833</v>
      </c>
      <c r="AH9" s="111">
        <f>Table112345[[#This Row],[b (mm)]]*AA9^3/12</f>
        <v>721137552.08333337</v>
      </c>
      <c r="AI9" s="111">
        <v>1398</v>
      </c>
      <c r="AK9" s="107"/>
    </row>
    <row r="10" spans="1:39" ht="12.75" customHeight="1" x14ac:dyDescent="0.25">
      <c r="A10" s="152" t="s">
        <v>94</v>
      </c>
      <c r="B10" s="143">
        <v>9</v>
      </c>
      <c r="C10" s="111">
        <v>9</v>
      </c>
      <c r="D10" s="111">
        <f>Table112345[[#This Row],[a (mm)]]/Table112345[[#This Row],[d (mm)]]</f>
        <v>3.01</v>
      </c>
      <c r="E10" s="160">
        <v>124.54400000000001</v>
      </c>
      <c r="F10" s="137">
        <f>Table112345[[#This Row],[d (mm)]]</f>
        <v>232</v>
      </c>
      <c r="G10" s="111">
        <f>E10*Y10</f>
        <v>86971.566080000004</v>
      </c>
      <c r="H10" s="111">
        <f>G10/($AL$5*AH10*0.001)</f>
        <v>4.5792725960988263E-6</v>
      </c>
      <c r="I10" s="111">
        <f>G10/(Table112345[[#This Row],[b (mm)]]*Z10^2)</f>
        <v>5.2978722442057662E-3</v>
      </c>
      <c r="J10" s="111">
        <f>G10/(AD10*AF10*Z10*0.001)</f>
        <v>0.83808951486697969</v>
      </c>
      <c r="K10" s="111">
        <f>E10/($AL$4*AG10*0.001)</f>
        <v>1.4512286397740621E-6</v>
      </c>
      <c r="L10" s="111">
        <f>E10/(Table112345[[#This Row],[b (mm)]]*Z10)</f>
        <v>1.7600904465799889E-3</v>
      </c>
      <c r="M10" s="111">
        <f>Table112345[[#This Row],[M (KN.mm)]]/(Table112345[[#This Row],[b (mm)]]*Table112345[[#This Row],[d (mm)]])</f>
        <v>1.2291063606557378</v>
      </c>
      <c r="N10" s="111">
        <f>Table112345[[#This Row],[M (KN.mm)]]/(Table112345[[#This Row],[b (mm)]]*Table112345[[#This Row],[h (mm)]])</f>
        <v>0.93492680548239726</v>
      </c>
      <c r="O10" s="111">
        <f>Table112345[[#This Row],[M (KN.mm)]]/(Table112345[[#This Row],[b (mm)]]*Table112345[[#This Row],[h (mm)]]*Table112345[[#This Row],[L(mm)]])</f>
        <v>6.6828220549134895E-4</v>
      </c>
      <c r="P10" s="111">
        <f>Table112345[[#This Row],[M (KN.mm)]]/(Table112345[[#This Row],[b (mm)]]*Table112345[[#This Row],[d (mm)]]*Table112345[[#This Row],[L(mm)]])</f>
        <v>8.7856065808129932E-4</v>
      </c>
      <c r="Q10" s="111">
        <f>Table112345[[#This Row],[M (KN.mm)]]/(Table112345[[#This Row],[b (mm)]]*Table112345[[#This Row],[h (mm)]]*Table112345[[#This Row],[L(mm)]]*Table112345[[#This Row],[fc (Mpa)]])</f>
        <v>1.0110169523318441E-5</v>
      </c>
      <c r="R10" s="111">
        <f>Table112345[[#This Row],[M (KN.mm)]]/(Table112345[[#This Row],[b (mm)]]*Table112345[[#This Row],[h (mm)]]*Table112345[[#This Row],[L(mm)]]/2)</f>
        <v>1.3365644109826979E-3</v>
      </c>
      <c r="S10" s="111">
        <f>Table112345[[#This Row],[M (KN.mm)]]/(Table112345[[#This Row],[a (mm)]]*Table112345[[#This Row],[b (mm)]]*Table112345[[#This Row],[h (mm)]]*Table112345[[#This Row],[L(mm)]]/2)</f>
        <v>1.9139712610016873E-6</v>
      </c>
      <c r="T10" s="111">
        <f>G10/($AL$5*AH10*0.001*Table112345[[#This Row],[pho (%)]])</f>
        <v>3.8160604967490215E-6</v>
      </c>
      <c r="U10" s="111">
        <f>Table112345[[#This Row],[M (KN.mm)]]/(Table112345[[#This Row],[b (mm)]]*Table112345[[#This Row],[d (mm)]]*Table112345[[#This Row],[pho (%)]])</f>
        <v>1.0242553005464481</v>
      </c>
      <c r="V10" s="111">
        <f>E10*224.8/(2*SQRT(Table112345[[#This Row],[fc (Mpa)]]*145.037)*Table112345[[#This Row],[b (mm)]]*Table112345[[#This Row],[d (mm)]]*(1/25.4)^2)</f>
        <v>1.3035527086048266</v>
      </c>
      <c r="W10" s="111">
        <f>Table112345[[#This Row],[M (KN.mm)]]/$G$11</f>
        <v>0.46636065573770491</v>
      </c>
      <c r="X10" s="110">
        <f t="shared" si="4"/>
        <v>1.3035527086048266</v>
      </c>
      <c r="Y10" s="111">
        <f>3.01*Table112345[[#This Row],[d (mm)]]</f>
        <v>698.31999999999994</v>
      </c>
      <c r="Z10" s="111">
        <v>232</v>
      </c>
      <c r="AA10" s="111">
        <v>305</v>
      </c>
      <c r="AB10" s="111">
        <v>305</v>
      </c>
      <c r="AC10" s="7">
        <v>66.099999999999994</v>
      </c>
      <c r="AD10" s="111">
        <v>852</v>
      </c>
      <c r="AE10" s="111">
        <v>1.2</v>
      </c>
      <c r="AF10" s="111">
        <v>525</v>
      </c>
      <c r="AG10" s="111">
        <f>(1/3-0.21*(MIN(Table112345[[#This Row],[b (mm)]],AA10)/MAX(Table112345[[#This Row],[b (mm)]],AA10))*(MIN(Table112345[[#This Row],[b (mm)]],AA10)^4/(12*MAX(Table112345[[#This Row],[b (mm)]],AA10)^4)))*MAX(Table112345[[#This Row],[b (mm)]],AA10)*MIN(Table112345[[#This Row],[b (mm)]],AA10)^3</f>
        <v>2733111322.395833</v>
      </c>
      <c r="AH10" s="111">
        <f>Table112345[[#This Row],[b (mm)]]*AA10^3/12</f>
        <v>721137552.08333337</v>
      </c>
      <c r="AI10" s="111">
        <v>1399</v>
      </c>
      <c r="AK10" s="107"/>
    </row>
    <row r="11" spans="1:39" x14ac:dyDescent="0.25">
      <c r="A11" s="152" t="s">
        <v>94</v>
      </c>
      <c r="B11" s="143" t="s">
        <v>92</v>
      </c>
      <c r="C11" s="111">
        <v>10</v>
      </c>
      <c r="D11" s="111">
        <f>Table112345[[#This Row],[a (mm)]]/Table112345[[#This Row],[d (mm)]]</f>
        <v>3.01</v>
      </c>
      <c r="E11" s="166">
        <v>267.05511811023626</v>
      </c>
      <c r="F11" s="137">
        <f>Table112345[[#This Row],[d (mm)]]</f>
        <v>232</v>
      </c>
      <c r="G11" s="111">
        <f>E11*Y11</f>
        <v>186489.93007874017</v>
      </c>
      <c r="H11" s="111">
        <f>G11/($AL$5*AH11*0.001)</f>
        <v>9.8191657888789516E-6</v>
      </c>
      <c r="I11" s="111">
        <f>G11/(Table112345[[#This Row],[b (mm)]]*Z11^2)</f>
        <v>1.136003258213413E-2</v>
      </c>
      <c r="J11" s="111">
        <f>G11/(AD11*AF11*Z11*0.001)</f>
        <v>1.797084519364657</v>
      </c>
      <c r="K11" s="111">
        <f>E11/($AL$4*AG11*0.001)</f>
        <v>3.1118161918664863E-6</v>
      </c>
      <c r="L11" s="111">
        <f>E11/(Table112345[[#This Row],[b (mm)]]*Z11)</f>
        <v>3.7740972033668213E-3</v>
      </c>
      <c r="M11" s="111">
        <f>Table112345[[#This Row],[M (KN.mm)]]/(Table112345[[#This Row],[b (mm)]]*Table112345[[#This Row],[d (mm)]])</f>
        <v>2.6355275590551184</v>
      </c>
      <c r="N11" s="111">
        <f>Table112345[[#This Row],[M (KN.mm)]]/(Table112345[[#This Row],[b (mm)]]*Table112345[[#This Row],[h (mm)]])</f>
        <v>2.0047291596747128</v>
      </c>
      <c r="O11" s="111">
        <f>Table112345[[#This Row],[M (KN.mm)]]/(Table112345[[#This Row],[b (mm)]]*Table112345[[#This Row],[h (mm)]]*Table112345[[#This Row],[L(mm)]])</f>
        <v>1.432972951876135E-3</v>
      </c>
      <c r="P11" s="111">
        <f>Table112345[[#This Row],[M (KN.mm)]]/(Table112345[[#This Row],[b (mm)]]*Table112345[[#This Row],[d (mm)]]*Table112345[[#This Row],[L(mm)]])</f>
        <v>1.8838653031130225E-3</v>
      </c>
      <c r="Q11" s="111">
        <f>Table112345[[#This Row],[M (KN.mm)]]/(Table112345[[#This Row],[b (mm)]]*Table112345[[#This Row],[h (mm)]]*Table112345[[#This Row],[L(mm)]]*Table112345[[#This Row],[fc (Mpa)]])</f>
        <v>2.1678864627475568E-5</v>
      </c>
      <c r="R11" s="111">
        <f>Table112345[[#This Row],[M (KN.mm)]]/(Table112345[[#This Row],[b (mm)]]*Table112345[[#This Row],[h (mm)]]*Table112345[[#This Row],[L(mm)]]/2)</f>
        <v>2.86594590375227E-3</v>
      </c>
      <c r="S11" s="111">
        <f>Table112345[[#This Row],[M (KN.mm)]]/(Table112345[[#This Row],[a (mm)]]*Table112345[[#This Row],[b (mm)]]*Table112345[[#This Row],[h (mm)]]*Table112345[[#This Row],[L(mm)]]/2)</f>
        <v>4.104058173548331E-6</v>
      </c>
      <c r="T11" s="111">
        <f>G11/($AL$5*AH11*0.001*Table112345[[#This Row],[pho (%)]])</f>
        <v>8.1826381573991258E-6</v>
      </c>
      <c r="U11" s="111">
        <f>Table112345[[#This Row],[M (KN.mm)]]/(Table112345[[#This Row],[b (mm)]]*Table112345[[#This Row],[d (mm)]]*Table112345[[#This Row],[pho (%)]])</f>
        <v>2.1962729658792655</v>
      </c>
      <c r="V11" s="111">
        <f>E11*224.8/(2*SQRT(Table112345[[#This Row],[fc (Mpa)]]*145.037)*Table112345[[#This Row],[b (mm)]]*Table112345[[#This Row],[d (mm)]]*(1/25.4)^2)</f>
        <v>2.7951601246096183</v>
      </c>
      <c r="W11" s="111">
        <f>Table112345[[#This Row],[M (KN.mm)]]/$G$11</f>
        <v>1</v>
      </c>
      <c r="X11" s="110">
        <f t="shared" si="4"/>
        <v>2.7951601246096183</v>
      </c>
      <c r="Y11" s="111">
        <f>3.01*Table112345[[#This Row],[d (mm)]]</f>
        <v>698.31999999999994</v>
      </c>
      <c r="Z11" s="111">
        <v>232</v>
      </c>
      <c r="AA11" s="111">
        <v>305</v>
      </c>
      <c r="AB11" s="111">
        <v>305</v>
      </c>
      <c r="AC11" s="7">
        <v>66.099999999999994</v>
      </c>
      <c r="AD11" s="111">
        <v>852</v>
      </c>
      <c r="AE11" s="111">
        <v>1.2</v>
      </c>
      <c r="AF11" s="111">
        <v>525</v>
      </c>
      <c r="AG11" s="111">
        <f>(1/3-0.21*(MIN(Table112345[[#This Row],[b (mm)]],AA11)/MAX(Table112345[[#This Row],[b (mm)]],AA11))*(MIN(Table112345[[#This Row],[b (mm)]],AA11)^4/(12*MAX(Table112345[[#This Row],[b (mm)]],AA11)^4)))*MAX(Table112345[[#This Row],[b (mm)]],AA11)*MIN(Table112345[[#This Row],[b (mm)]],AA11)^3</f>
        <v>2733111322.395833</v>
      </c>
      <c r="AH11" s="111">
        <f>Table112345[[#This Row],[b (mm)]]*AA11^3/12</f>
        <v>721137552.08333337</v>
      </c>
      <c r="AI11" s="111">
        <v>1399</v>
      </c>
      <c r="AK11" s="107"/>
    </row>
    <row r="12" spans="1:39" ht="17.25" customHeight="1" x14ac:dyDescent="0.25">
      <c r="A12" s="152" t="s">
        <v>94</v>
      </c>
      <c r="B12" s="143" t="s">
        <v>93</v>
      </c>
      <c r="C12" s="111">
        <v>11</v>
      </c>
      <c r="D12" s="111">
        <f>Table112345[[#This Row],[a (mm)]]/Table112345[[#This Row],[d (mm)]]</f>
        <v>3.01</v>
      </c>
      <c r="E12" s="166">
        <v>267.05511811023626</v>
      </c>
      <c r="F12" s="137">
        <f>Table112345[[#This Row],[d (mm)]]</f>
        <v>232</v>
      </c>
      <c r="G12" s="111">
        <f>E12*Y12</f>
        <v>186489.93007874017</v>
      </c>
      <c r="H12" s="111">
        <f>G12/($AL$5*AH12*0.001)</f>
        <v>9.8191657888789516E-6</v>
      </c>
      <c r="I12" s="111">
        <f>G12/(Table112345[[#This Row],[b (mm)]]*Z12^2)</f>
        <v>1.136003258213413E-2</v>
      </c>
      <c r="J12" s="111">
        <f>G12/(AD12*AF12*Z12*0.001)</f>
        <v>1.797084519364657</v>
      </c>
      <c r="K12" s="111">
        <f>E12/($AL$4*AG12*0.001)</f>
        <v>3.1118161918664863E-6</v>
      </c>
      <c r="L12" s="111">
        <f>E12/(Table112345[[#This Row],[b (mm)]]*Z12)</f>
        <v>3.7740972033668213E-3</v>
      </c>
      <c r="M12" s="111">
        <f>Table112345[[#This Row],[M (KN.mm)]]/(Table112345[[#This Row],[b (mm)]]*Table112345[[#This Row],[d (mm)]])</f>
        <v>2.6355275590551184</v>
      </c>
      <c r="N12" s="111">
        <f>Table112345[[#This Row],[M (KN.mm)]]/(Table112345[[#This Row],[b (mm)]]*Table112345[[#This Row],[h (mm)]])</f>
        <v>2.0047291596747128</v>
      </c>
      <c r="O12" s="111">
        <f>Table112345[[#This Row],[M (KN.mm)]]/(Table112345[[#This Row],[b (mm)]]*Table112345[[#This Row],[h (mm)]]*Table112345[[#This Row],[L(mm)]])</f>
        <v>1.432972951876135E-3</v>
      </c>
      <c r="P12" s="111">
        <f>Table112345[[#This Row],[M (KN.mm)]]/(Table112345[[#This Row],[b (mm)]]*Table112345[[#This Row],[d (mm)]]*Table112345[[#This Row],[L(mm)]])</f>
        <v>1.8838653031130225E-3</v>
      </c>
      <c r="Q12" s="111">
        <f>Table112345[[#This Row],[M (KN.mm)]]/(Table112345[[#This Row],[b (mm)]]*Table112345[[#This Row],[h (mm)]]*Table112345[[#This Row],[L(mm)]]*Table112345[[#This Row],[fc (Mpa)]])</f>
        <v>2.1678864627475568E-5</v>
      </c>
      <c r="R12" s="111">
        <f>Table112345[[#This Row],[M (KN.mm)]]/(Table112345[[#This Row],[b (mm)]]*Table112345[[#This Row],[h (mm)]]*Table112345[[#This Row],[L(mm)]]/2)</f>
        <v>2.86594590375227E-3</v>
      </c>
      <c r="S12" s="111">
        <f>Table112345[[#This Row],[M (KN.mm)]]/(Table112345[[#This Row],[a (mm)]]*Table112345[[#This Row],[b (mm)]]*Table112345[[#This Row],[h (mm)]]*Table112345[[#This Row],[L(mm)]]/2)</f>
        <v>4.104058173548331E-6</v>
      </c>
      <c r="T12" s="111">
        <f>G12/($AL$5*AH12*0.001*Table112345[[#This Row],[pho (%)]])</f>
        <v>8.1826381573991258E-6</v>
      </c>
      <c r="U12" s="111">
        <f>Table112345[[#This Row],[M (KN.mm)]]/(Table112345[[#This Row],[b (mm)]]*Table112345[[#This Row],[d (mm)]]*Table112345[[#This Row],[pho (%)]])</f>
        <v>2.1962729658792655</v>
      </c>
      <c r="V12" s="111">
        <f>E12*224.8/(2*SQRT(Table112345[[#This Row],[fc (Mpa)]]*145.037)*Table112345[[#This Row],[b (mm)]]*Table112345[[#This Row],[d (mm)]]*(1/25.4)^2)</f>
        <v>2.7951601246096183</v>
      </c>
      <c r="W12" s="111">
        <f>Table112345[[#This Row],[M (KN.mm)]]/$G$11</f>
        <v>1</v>
      </c>
      <c r="X12" s="110">
        <f t="shared" si="4"/>
        <v>2.7951601246096183</v>
      </c>
      <c r="Y12" s="111">
        <f>3.01*Table112345[[#This Row],[d (mm)]]</f>
        <v>698.31999999999994</v>
      </c>
      <c r="Z12" s="111">
        <v>232</v>
      </c>
      <c r="AA12" s="111">
        <v>305</v>
      </c>
      <c r="AB12" s="111">
        <v>305</v>
      </c>
      <c r="AC12" s="7">
        <v>66.099999999999994</v>
      </c>
      <c r="AD12" s="111">
        <v>852</v>
      </c>
      <c r="AE12" s="111">
        <v>1.2</v>
      </c>
      <c r="AF12" s="111">
        <v>525</v>
      </c>
      <c r="AG12" s="111">
        <f>(1/3-0.21*(MIN(Table112345[[#This Row],[b (mm)]],AA12)/MAX(Table112345[[#This Row],[b (mm)]],AA12))*(MIN(Table112345[[#This Row],[b (mm)]],AA12)^4/(12*MAX(Table112345[[#This Row],[b (mm)]],AA12)^4)))*MAX(Table112345[[#This Row],[b (mm)]],AA12)*MIN(Table112345[[#This Row],[b (mm)]],AA12)^3</f>
        <v>2733111322.395833</v>
      </c>
      <c r="AH12" s="111">
        <f>Table112345[[#This Row],[b (mm)]]*AA12^3/12</f>
        <v>721137552.08333337</v>
      </c>
      <c r="AI12" s="111">
        <v>1399</v>
      </c>
      <c r="AK12" s="107"/>
    </row>
    <row r="13" spans="1:39" x14ac:dyDescent="0.25">
      <c r="A13" s="153" t="s">
        <v>95</v>
      </c>
      <c r="B13" s="161">
        <v>1</v>
      </c>
      <c r="C13" s="111">
        <v>12</v>
      </c>
      <c r="D13" s="111">
        <f>Table112345[[#This Row],[a (mm)]]/Table112345[[#This Row],[d (mm)]]</f>
        <v>2.98</v>
      </c>
      <c r="E13" s="160">
        <v>90.739199999999997</v>
      </c>
      <c r="F13" s="137">
        <f>Table112345[[#This Row],[d (mm)]]</f>
        <v>530</v>
      </c>
      <c r="G13" s="111">
        <f t="shared" ref="G13:G22" si="5">E13*Y13</f>
        <v>143313.49248000002</v>
      </c>
      <c r="H13" s="111">
        <f t="shared" ref="H13:H22" si="6">G13/($AL$5*AH13*0.001)</f>
        <v>9.3553617764632545E-7</v>
      </c>
      <c r="I13" s="111">
        <f>G13/(Table112345[[#This Row],[b (mm)]]*Z13^2)</f>
        <v>1.6673006289308178E-3</v>
      </c>
      <c r="J13" s="111">
        <f t="shared" ref="J13:J22" si="7">G13/(AD13*AF13*Z13*0.001)</f>
        <v>0.25260077629089894</v>
      </c>
      <c r="K13" s="111">
        <f t="shared" ref="K13:K22" si="8">E13/($AL$4*AG13*0.001)</f>
        <v>4.9602095247832276E-7</v>
      </c>
      <c r="L13" s="111">
        <f>E13/(Table112345[[#This Row],[b (mm)]]*Z13)</f>
        <v>5.5949685534591198E-4</v>
      </c>
      <c r="M13" s="111">
        <f>Table112345[[#This Row],[M (KN.mm)]]/(Table112345[[#This Row],[b (mm)]]*Table112345[[#This Row],[d (mm)]])</f>
        <v>0.88366933333333342</v>
      </c>
      <c r="N13" s="111">
        <f>Table112345[[#This Row],[M (KN.mm)]]/(Table112345[[#This Row],[b (mm)]]*Table112345[[#This Row],[h (mm)]])</f>
        <v>0.76652168030551016</v>
      </c>
      <c r="O13" s="111">
        <f>Table112345[[#This Row],[M (KN.mm)]]/(Table112345[[#This Row],[b (mm)]]*Table112345[[#This Row],[h (mm)]]*Table112345[[#This Row],[L(mm)]])</f>
        <v>2.4241672368928216E-4</v>
      </c>
      <c r="P13" s="111">
        <f>Table112345[[#This Row],[M (KN.mm)]]/(Table112345[[#This Row],[b (mm)]]*Table112345[[#This Row],[d (mm)]]*Table112345[[#This Row],[L(mm)]])</f>
        <v>2.7946531730971963E-4</v>
      </c>
      <c r="Q13" s="111">
        <f>Table112345[[#This Row],[M (KN.mm)]]/(Table112345[[#This Row],[b (mm)]]*Table112345[[#This Row],[h (mm)]]*Table112345[[#This Row],[L(mm)]]*Table112345[[#This Row],[fc (Mpa)]])</f>
        <v>3.667423958990653E-6</v>
      </c>
      <c r="R13" s="111">
        <f>Table112345[[#This Row],[M (KN.mm)]]/(Table112345[[#This Row],[b (mm)]]*Table112345[[#This Row],[h (mm)]]*Table112345[[#This Row],[L(mm)]]/2)</f>
        <v>4.8483344737856431E-4</v>
      </c>
      <c r="S13" s="111">
        <f>Table112345[[#This Row],[M (KN.mm)]]/(Table112345[[#This Row],[a (mm)]]*Table112345[[#This Row],[b (mm)]]*Table112345[[#This Row],[h (mm)]]*Table112345[[#This Row],[L(mm)]]/2)</f>
        <v>3.0697318436024074E-7</v>
      </c>
      <c r="T13" s="111">
        <f>G13/($AL$5*AH13*0.001*Table112345[[#This Row],[pho (%)]])</f>
        <v>7.4842894211706034E-7</v>
      </c>
      <c r="U13" s="111">
        <f>Table112345[[#This Row],[M (KN.mm)]]/(Table112345[[#This Row],[b (mm)]]*Table112345[[#This Row],[d (mm)]]*Table112345[[#This Row],[pho (%)]])</f>
        <v>0.70693546666666673</v>
      </c>
      <c r="V13" s="111">
        <f>E13*224.8/(2*SQRT(Table112345[[#This Row],[fc (Mpa)]]*145.037)*Table112345[[#This Row],[b (mm)]]*Table112345[[#This Row],[d (mm)]]*(1/25.4)^2)</f>
        <v>0.414372819680492</v>
      </c>
      <c r="W13" s="111">
        <f>Table112345[[#This Row],[M (KN.mm)]]/$G$21</f>
        <v>0.33202614379084966</v>
      </c>
      <c r="X13" s="110">
        <f t="shared" si="4"/>
        <v>0.414372819680492</v>
      </c>
      <c r="Y13" s="111">
        <f>2.98*Table112345[[#This Row],[d (mm)]]</f>
        <v>1579.4</v>
      </c>
      <c r="Z13" s="160">
        <v>530</v>
      </c>
      <c r="AA13" s="160">
        <v>611</v>
      </c>
      <c r="AB13" s="160">
        <v>306</v>
      </c>
      <c r="AC13" s="160">
        <v>66.099999999999994</v>
      </c>
      <c r="AD13" s="160">
        <v>2039</v>
      </c>
      <c r="AE13" s="160">
        <v>1.25</v>
      </c>
      <c r="AF13" s="160">
        <v>525</v>
      </c>
      <c r="AG13" s="111">
        <f>(1/3-0.21*(MIN(Table112345[[#This Row],[b (mm)]],AA13)/MAX(Table112345[[#This Row],[b (mm)]],AA13))*(MIN(Table112345[[#This Row],[b (mm)]],AA13)^4/(12*MAX(Table112345[[#This Row],[b (mm)]],AA13)^4)))*MAX(Table112345[[#This Row],[b (mm)]],AA13)*MIN(Table112345[[#This Row],[b (mm)]],AA13)^3</f>
        <v>5825930185.1099443</v>
      </c>
      <c r="AH13" s="111">
        <f>Table112345[[#This Row],[b (mm)]]*AA13^3/12</f>
        <v>5816527840.5</v>
      </c>
      <c r="AI13" s="160">
        <v>3162</v>
      </c>
      <c r="AK13" s="107"/>
    </row>
    <row r="14" spans="1:39" x14ac:dyDescent="0.25">
      <c r="A14" s="153" t="s">
        <v>95</v>
      </c>
      <c r="B14" s="161">
        <v>2</v>
      </c>
      <c r="C14" s="111">
        <v>13</v>
      </c>
      <c r="D14" s="111">
        <f>Table112345[[#This Row],[a (mm)]]/Table112345[[#This Row],[d (mm)]]</f>
        <v>2.98</v>
      </c>
      <c r="E14" s="160">
        <v>111.20000000000002</v>
      </c>
      <c r="F14" s="137">
        <f>Table112345[[#This Row],[d (mm)]]</f>
        <v>530</v>
      </c>
      <c r="G14" s="111">
        <f t="shared" si="5"/>
        <v>175629.28000000003</v>
      </c>
      <c r="H14" s="111">
        <f t="shared" si="6"/>
        <v>1.1464904137822616E-6</v>
      </c>
      <c r="I14" s="111">
        <f>G14/(Table112345[[#This Row],[b (mm)]]*Z14^2)</f>
        <v>2.04326057467012E-3</v>
      </c>
      <c r="J14" s="111">
        <f t="shared" si="7"/>
        <v>0.30955977486629771</v>
      </c>
      <c r="K14" s="111">
        <f t="shared" si="8"/>
        <v>6.078688143116701E-7</v>
      </c>
      <c r="L14" s="111">
        <f>E14/(Table112345[[#This Row],[b (mm)]]*Z14)</f>
        <v>6.8565791096312752E-4</v>
      </c>
      <c r="M14" s="111">
        <f>Table112345[[#This Row],[M (KN.mm)]]/(Table112345[[#This Row],[b (mm)]]*Table112345[[#This Row],[d (mm)]])</f>
        <v>1.0829281045751635</v>
      </c>
      <c r="N14" s="111">
        <f>Table112345[[#This Row],[M (KN.mm)]]/(Table112345[[#This Row],[b (mm)]]*Table112345[[#This Row],[h (mm)]])</f>
        <v>0.93936480429596836</v>
      </c>
      <c r="O14" s="111">
        <f>Table112345[[#This Row],[M (KN.mm)]]/(Table112345[[#This Row],[b (mm)]]*Table112345[[#This Row],[h (mm)]]*Table112345[[#This Row],[L(mm)]])</f>
        <v>2.9707931824666931E-4</v>
      </c>
      <c r="P14" s="111">
        <f>Table112345[[#This Row],[M (KN.mm)]]/(Table112345[[#This Row],[b (mm)]]*Table112345[[#This Row],[d (mm)]]*Table112345[[#This Row],[L(mm)]])</f>
        <v>3.4248200650700936E-4</v>
      </c>
      <c r="Q14" s="111">
        <f>Table112345[[#This Row],[M (KN.mm)]]/(Table112345[[#This Row],[b (mm)]]*Table112345[[#This Row],[h (mm)]]*Table112345[[#This Row],[L(mm)]]*Table112345[[#This Row],[fc (Mpa)]])</f>
        <v>4.4943921066061932E-6</v>
      </c>
      <c r="R14" s="111">
        <f>Table112345[[#This Row],[M (KN.mm)]]/(Table112345[[#This Row],[b (mm)]]*Table112345[[#This Row],[h (mm)]]*Table112345[[#This Row],[L(mm)]]/2)</f>
        <v>5.9415863649333862E-4</v>
      </c>
      <c r="S14" s="111">
        <f>Table112345[[#This Row],[M (KN.mm)]]/(Table112345[[#This Row],[a (mm)]]*Table112345[[#This Row],[b (mm)]]*Table112345[[#This Row],[h (mm)]]*Table112345[[#This Row],[L(mm)]]/2)</f>
        <v>3.761926278924519E-7</v>
      </c>
      <c r="T14" s="111">
        <f>G14/($AL$5*AH14*0.001*Table112345[[#This Row],[pho (%)]])</f>
        <v>9.1719233102580931E-7</v>
      </c>
      <c r="U14" s="111">
        <f>Table112345[[#This Row],[M (KN.mm)]]/(Table112345[[#This Row],[b (mm)]]*Table112345[[#This Row],[d (mm)]]*Table112345[[#This Row],[pho (%)]])</f>
        <v>0.86634248366013089</v>
      </c>
      <c r="V14" s="111">
        <f>E14*224.8/(2*SQRT(Table112345[[#This Row],[fc (Mpa)]]*145.037)*Table112345[[#This Row],[b (mm)]]*Table112345[[#This Row],[d (mm)]]*(1/25.4)^2)</f>
        <v>0.50780982803981867</v>
      </c>
      <c r="W14" s="111">
        <f>Table112345[[#This Row],[M (KN.mm)]]/$G$21</f>
        <v>0.40689478405741381</v>
      </c>
      <c r="X14" s="110">
        <f t="shared" si="4"/>
        <v>0.50780982803981867</v>
      </c>
      <c r="Y14" s="111">
        <f>2.98*Table112345[[#This Row],[d (mm)]]</f>
        <v>1579.4</v>
      </c>
      <c r="Z14" s="160">
        <v>530</v>
      </c>
      <c r="AA14" s="160">
        <v>611</v>
      </c>
      <c r="AB14" s="160">
        <v>306</v>
      </c>
      <c r="AC14" s="160">
        <v>66.099999999999994</v>
      </c>
      <c r="AD14" s="160">
        <v>2039</v>
      </c>
      <c r="AE14" s="160">
        <v>1.25</v>
      </c>
      <c r="AF14" s="160">
        <v>525</v>
      </c>
      <c r="AG14" s="111">
        <f>(1/3-0.21*(MIN(Table112345[[#This Row],[b (mm)]],AA14)/MAX(Table112345[[#This Row],[b (mm)]],AA14))*(MIN(Table112345[[#This Row],[b (mm)]],AA14)^4/(12*MAX(Table112345[[#This Row],[b (mm)]],AA14)^4)))*MAX(Table112345[[#This Row],[b (mm)]],AA14)*MIN(Table112345[[#This Row],[b (mm)]],AA14)^3</f>
        <v>5825930185.1099443</v>
      </c>
      <c r="AH14" s="111">
        <f>Table112345[[#This Row],[b (mm)]]*AA14^3/12</f>
        <v>5816527840.5</v>
      </c>
      <c r="AI14" s="160">
        <v>3162</v>
      </c>
      <c r="AK14" s="107"/>
    </row>
    <row r="15" spans="1:39" x14ac:dyDescent="0.25">
      <c r="A15" s="153" t="s">
        <v>95</v>
      </c>
      <c r="B15" s="161">
        <v>3</v>
      </c>
      <c r="C15" s="111">
        <v>14</v>
      </c>
      <c r="D15" s="111">
        <f>Table112345[[#This Row],[a (mm)]]/Table112345[[#This Row],[d (mm)]]</f>
        <v>2.98</v>
      </c>
      <c r="E15" s="160">
        <v>133.44</v>
      </c>
      <c r="F15" s="137">
        <f>Table112345[[#This Row],[d (mm)]]</f>
        <v>530</v>
      </c>
      <c r="G15" s="111">
        <f t="shared" si="5"/>
        <v>210755.136</v>
      </c>
      <c r="H15" s="111">
        <f t="shared" si="6"/>
        <v>1.3757884965387138E-6</v>
      </c>
      <c r="I15" s="111">
        <f>G15/(Table112345[[#This Row],[b (mm)]]*Z15^2)</f>
        <v>2.4519126896041434E-3</v>
      </c>
      <c r="J15" s="111">
        <f t="shared" si="7"/>
        <v>0.37147172983955723</v>
      </c>
      <c r="K15" s="111">
        <f t="shared" si="8"/>
        <v>7.29442577174004E-7</v>
      </c>
      <c r="L15" s="111">
        <f>E15/(Table112345[[#This Row],[b (mm)]]*Z15)</f>
        <v>8.2278949315575287E-4</v>
      </c>
      <c r="M15" s="111">
        <f>Table112345[[#This Row],[M (KN.mm)]]/(Table112345[[#This Row],[b (mm)]]*Table112345[[#This Row],[d (mm)]])</f>
        <v>1.2995137254901961</v>
      </c>
      <c r="N15" s="111">
        <f>Table112345[[#This Row],[M (KN.mm)]]/(Table112345[[#This Row],[b (mm)]]*Table112345[[#This Row],[h (mm)]])</f>
        <v>1.1272377651551619</v>
      </c>
      <c r="O15" s="111">
        <f>Table112345[[#This Row],[M (KN.mm)]]/(Table112345[[#This Row],[b (mm)]]*Table112345[[#This Row],[h (mm)]]*Table112345[[#This Row],[L(mm)]])</f>
        <v>3.5649518189600311E-4</v>
      </c>
      <c r="P15" s="111">
        <f>Table112345[[#This Row],[M (KN.mm)]]/(Table112345[[#This Row],[b (mm)]]*Table112345[[#This Row],[d (mm)]]*Table112345[[#This Row],[L(mm)]])</f>
        <v>4.1097840780841117E-4</v>
      </c>
      <c r="Q15" s="111">
        <f>Table112345[[#This Row],[M (KN.mm)]]/(Table112345[[#This Row],[b (mm)]]*Table112345[[#This Row],[h (mm)]]*Table112345[[#This Row],[L(mm)]]*Table112345[[#This Row],[fc (Mpa)]])</f>
        <v>5.3932705279274308E-6</v>
      </c>
      <c r="R15" s="111">
        <f>Table112345[[#This Row],[M (KN.mm)]]/(Table112345[[#This Row],[b (mm)]]*Table112345[[#This Row],[h (mm)]]*Table112345[[#This Row],[L(mm)]]/2)</f>
        <v>7.1299036379200622E-4</v>
      </c>
      <c r="S15" s="111">
        <f>Table112345[[#This Row],[M (KN.mm)]]/(Table112345[[#This Row],[a (mm)]]*Table112345[[#This Row],[b (mm)]]*Table112345[[#This Row],[h (mm)]]*Table112345[[#This Row],[L(mm)]]/2)</f>
        <v>4.5143115347094223E-7</v>
      </c>
      <c r="T15" s="111">
        <f>G15/($AL$5*AH15*0.001*Table112345[[#This Row],[pho (%)]])</f>
        <v>1.100630797230971E-6</v>
      </c>
      <c r="U15" s="111">
        <f>Table112345[[#This Row],[M (KN.mm)]]/(Table112345[[#This Row],[b (mm)]]*Table112345[[#This Row],[d (mm)]]*Table112345[[#This Row],[pho (%)]])</f>
        <v>1.0396109803921569</v>
      </c>
      <c r="V15" s="111">
        <f>E15*224.8/(2*SQRT(Table112345[[#This Row],[fc (Mpa)]]*145.037)*Table112345[[#This Row],[b (mm)]]*Table112345[[#This Row],[d (mm)]]*(1/25.4)^2)</f>
        <v>0.60937179364778227</v>
      </c>
      <c r="W15" s="111">
        <f>Table112345[[#This Row],[M (KN.mm)]]/$G$21</f>
        <v>0.48827374086889647</v>
      </c>
      <c r="X15" s="110">
        <f t="shared" si="4"/>
        <v>0.60937179364778227</v>
      </c>
      <c r="Y15" s="111">
        <f>2.98*Table112345[[#This Row],[d (mm)]]</f>
        <v>1579.4</v>
      </c>
      <c r="Z15" s="160">
        <v>530</v>
      </c>
      <c r="AA15" s="160">
        <v>611</v>
      </c>
      <c r="AB15" s="160">
        <v>306</v>
      </c>
      <c r="AC15" s="160">
        <v>66.099999999999994</v>
      </c>
      <c r="AD15" s="160">
        <v>2039</v>
      </c>
      <c r="AE15" s="160">
        <v>1.25</v>
      </c>
      <c r="AF15" s="160">
        <v>525</v>
      </c>
      <c r="AG15" s="111">
        <f>(1/3-0.21*(MIN(Table112345[[#This Row],[b (mm)]],AA15)/MAX(Table112345[[#This Row],[b (mm)]],AA15))*(MIN(Table112345[[#This Row],[b (mm)]],AA15)^4/(12*MAX(Table112345[[#This Row],[b (mm)]],AA15)^4)))*MAX(Table112345[[#This Row],[b (mm)]],AA15)*MIN(Table112345[[#This Row],[b (mm)]],AA15)^3</f>
        <v>5825930185.1099443</v>
      </c>
      <c r="AH15" s="111">
        <f>Table112345[[#This Row],[b (mm)]]*AA15^3/12</f>
        <v>5816527840.5</v>
      </c>
      <c r="AI15" s="160">
        <v>3162</v>
      </c>
      <c r="AK15" s="107"/>
    </row>
    <row r="16" spans="1:39" x14ac:dyDescent="0.25">
      <c r="A16" s="153" t="s">
        <v>95</v>
      </c>
      <c r="B16" s="161">
        <v>4</v>
      </c>
      <c r="C16" s="111">
        <v>15</v>
      </c>
      <c r="D16" s="111">
        <f>Table112345[[#This Row],[a (mm)]]/Table112345[[#This Row],[d (mm)]]</f>
        <v>2.98</v>
      </c>
      <c r="E16" s="160">
        <v>155.68</v>
      </c>
      <c r="F16" s="137">
        <f>Table112345[[#This Row],[d (mm)]]</f>
        <v>530</v>
      </c>
      <c r="G16" s="111">
        <f t="shared" si="5"/>
        <v>245880.99200000003</v>
      </c>
      <c r="H16" s="111">
        <f t="shared" si="6"/>
        <v>1.6050865792951662E-6</v>
      </c>
      <c r="I16" s="111">
        <f>G16/(Table112345[[#This Row],[b (mm)]]*Z16^2)</f>
        <v>2.8605648045381678E-3</v>
      </c>
      <c r="J16" s="111">
        <f t="shared" si="7"/>
        <v>0.43338368481281681</v>
      </c>
      <c r="K16" s="111">
        <f t="shared" si="8"/>
        <v>8.510163400363381E-7</v>
      </c>
      <c r="L16" s="111">
        <f>E16/(Table112345[[#This Row],[b (mm)]]*Z16)</f>
        <v>9.5992107534837833E-4</v>
      </c>
      <c r="M16" s="111">
        <f>Table112345[[#This Row],[M (KN.mm)]]/(Table112345[[#This Row],[b (mm)]]*Table112345[[#This Row],[d (mm)]])</f>
        <v>1.516099346405229</v>
      </c>
      <c r="N16" s="111">
        <f>Table112345[[#This Row],[M (KN.mm)]]/(Table112345[[#This Row],[b (mm)]]*Table112345[[#This Row],[h (mm)]])</f>
        <v>1.3151107260143557</v>
      </c>
      <c r="O16" s="111">
        <f>Table112345[[#This Row],[M (KN.mm)]]/(Table112345[[#This Row],[b (mm)]]*Table112345[[#This Row],[h (mm)]]*Table112345[[#This Row],[L(mm)]])</f>
        <v>4.1591104554533702E-4</v>
      </c>
      <c r="P16" s="111">
        <f>Table112345[[#This Row],[M (KN.mm)]]/(Table112345[[#This Row],[b (mm)]]*Table112345[[#This Row],[d (mm)]]*Table112345[[#This Row],[L(mm)]])</f>
        <v>4.7947480910981308E-4</v>
      </c>
      <c r="Q16" s="111">
        <f>Table112345[[#This Row],[M (KN.mm)]]/(Table112345[[#This Row],[b (mm)]]*Table112345[[#This Row],[h (mm)]]*Table112345[[#This Row],[L(mm)]]*Table112345[[#This Row],[fc (Mpa)]])</f>
        <v>6.2921489492486693E-6</v>
      </c>
      <c r="R16" s="111">
        <f>Table112345[[#This Row],[M (KN.mm)]]/(Table112345[[#This Row],[b (mm)]]*Table112345[[#This Row],[h (mm)]]*Table112345[[#This Row],[L(mm)]]/2)</f>
        <v>8.3182209109067403E-4</v>
      </c>
      <c r="S16" s="111">
        <f>Table112345[[#This Row],[M (KN.mm)]]/(Table112345[[#This Row],[a (mm)]]*Table112345[[#This Row],[b (mm)]]*Table112345[[#This Row],[h (mm)]]*Table112345[[#This Row],[L(mm)]]/2)</f>
        <v>5.2666967904943262E-7</v>
      </c>
      <c r="T16" s="111">
        <f>G16/($AL$5*AH16*0.001*Table112345[[#This Row],[pho (%)]])</f>
        <v>1.2840692634361329E-6</v>
      </c>
      <c r="U16" s="111">
        <f>Table112345[[#This Row],[M (KN.mm)]]/(Table112345[[#This Row],[b (mm)]]*Table112345[[#This Row],[d (mm)]]*Table112345[[#This Row],[pho (%)]])</f>
        <v>1.2128794771241831</v>
      </c>
      <c r="V16" s="111">
        <f>E16*224.8/(2*SQRT(Table112345[[#This Row],[fc (Mpa)]]*145.037)*Table112345[[#This Row],[b (mm)]]*Table112345[[#This Row],[d (mm)]]*(1/25.4)^2)</f>
        <v>0.71093375925574598</v>
      </c>
      <c r="W16" s="111">
        <f>Table112345[[#This Row],[M (KN.mm)]]/$G$21</f>
        <v>0.56965269768037929</v>
      </c>
      <c r="X16" s="110">
        <f t="shared" si="4"/>
        <v>0.71093375925574598</v>
      </c>
      <c r="Y16" s="111">
        <f>2.98*Table112345[[#This Row],[d (mm)]]</f>
        <v>1579.4</v>
      </c>
      <c r="Z16" s="160">
        <v>530</v>
      </c>
      <c r="AA16" s="160">
        <v>611</v>
      </c>
      <c r="AB16" s="160">
        <v>306</v>
      </c>
      <c r="AC16" s="160">
        <v>66.099999999999994</v>
      </c>
      <c r="AD16" s="160">
        <v>2039</v>
      </c>
      <c r="AE16" s="160">
        <v>1.25</v>
      </c>
      <c r="AF16" s="160">
        <v>525</v>
      </c>
      <c r="AG16" s="111">
        <f>(1/3-0.21*(MIN(Table112345[[#This Row],[b (mm)]],AA16)/MAX(Table112345[[#This Row],[b (mm)]],AA16))*(MIN(Table112345[[#This Row],[b (mm)]],AA16)^4/(12*MAX(Table112345[[#This Row],[b (mm)]],AA16)^4)))*MAX(Table112345[[#This Row],[b (mm)]],AA16)*MIN(Table112345[[#This Row],[b (mm)]],AA16)^3</f>
        <v>5825930185.1099443</v>
      </c>
      <c r="AH16" s="111">
        <f>Table112345[[#This Row],[b (mm)]]*AA16^3/12</f>
        <v>5816527840.5</v>
      </c>
      <c r="AI16" s="160">
        <v>3162</v>
      </c>
      <c r="AK16" s="107"/>
    </row>
    <row r="17" spans="1:39" x14ac:dyDescent="0.25">
      <c r="A17" s="153" t="s">
        <v>95</v>
      </c>
      <c r="B17" s="161">
        <v>5</v>
      </c>
      <c r="C17" s="111">
        <v>16</v>
      </c>
      <c r="D17" s="111">
        <f>Table112345[[#This Row],[a (mm)]]/Table112345[[#This Row],[d (mm)]]</f>
        <v>2.98</v>
      </c>
      <c r="E17" s="160">
        <v>177.92000000000002</v>
      </c>
      <c r="F17" s="137">
        <f>Table112345[[#This Row],[d (mm)]]</f>
        <v>530</v>
      </c>
      <c r="G17" s="111">
        <f t="shared" si="5"/>
        <v>281006.84800000006</v>
      </c>
      <c r="H17" s="111">
        <f t="shared" si="6"/>
        <v>1.8343846620516186E-6</v>
      </c>
      <c r="I17" s="111">
        <f>G17/(Table112345[[#This Row],[b (mm)]]*Z17^2)</f>
        <v>3.2692169194721921E-3</v>
      </c>
      <c r="J17" s="111">
        <f t="shared" si="7"/>
        <v>0.49529563978607638</v>
      </c>
      <c r="K17" s="111">
        <f t="shared" si="8"/>
        <v>9.7259010289867221E-7</v>
      </c>
      <c r="L17" s="111">
        <f>E17/(Table112345[[#This Row],[b (mm)]]*Z17)</f>
        <v>1.0970526575410039E-3</v>
      </c>
      <c r="M17" s="111">
        <f>Table112345[[#This Row],[M (KN.mm)]]/(Table112345[[#This Row],[b (mm)]]*Table112345[[#This Row],[d (mm)]])</f>
        <v>1.7326849673202618</v>
      </c>
      <c r="N17" s="111">
        <f>Table112345[[#This Row],[M (KN.mm)]]/(Table112345[[#This Row],[b (mm)]]*Table112345[[#This Row],[h (mm)]])</f>
        <v>1.5029836868735496</v>
      </c>
      <c r="O17" s="111">
        <f>Table112345[[#This Row],[M (KN.mm)]]/(Table112345[[#This Row],[b (mm)]]*Table112345[[#This Row],[h (mm)]]*Table112345[[#This Row],[L(mm)]])</f>
        <v>4.7532690919467092E-4</v>
      </c>
      <c r="P17" s="111">
        <f>Table112345[[#This Row],[M (KN.mm)]]/(Table112345[[#This Row],[b (mm)]]*Table112345[[#This Row],[d (mm)]]*Table112345[[#This Row],[L(mm)]])</f>
        <v>5.47971210411215E-4</v>
      </c>
      <c r="Q17" s="111">
        <f>Table112345[[#This Row],[M (KN.mm)]]/(Table112345[[#This Row],[b (mm)]]*Table112345[[#This Row],[h (mm)]]*Table112345[[#This Row],[L(mm)]]*Table112345[[#This Row],[fc (Mpa)]])</f>
        <v>7.1910273705699086E-6</v>
      </c>
      <c r="R17" s="111">
        <f>Table112345[[#This Row],[M (KN.mm)]]/(Table112345[[#This Row],[b (mm)]]*Table112345[[#This Row],[h (mm)]]*Table112345[[#This Row],[L(mm)]]/2)</f>
        <v>9.5065381838934184E-4</v>
      </c>
      <c r="S17" s="111">
        <f>Table112345[[#This Row],[M (KN.mm)]]/(Table112345[[#This Row],[a (mm)]]*Table112345[[#This Row],[b (mm)]]*Table112345[[#This Row],[h (mm)]]*Table112345[[#This Row],[L(mm)]]/2)</f>
        <v>6.0190820462792312E-7</v>
      </c>
      <c r="T17" s="111">
        <f>G17/($AL$5*AH17*0.001*Table112345[[#This Row],[pho (%)]])</f>
        <v>1.4675077296412949E-6</v>
      </c>
      <c r="U17" s="111">
        <f>Table112345[[#This Row],[M (KN.mm)]]/(Table112345[[#This Row],[b (mm)]]*Table112345[[#This Row],[d (mm)]]*Table112345[[#This Row],[pho (%)]])</f>
        <v>1.3861479738562095</v>
      </c>
      <c r="V17" s="111">
        <f>E17*224.8/(2*SQRT(Table112345[[#This Row],[fc (Mpa)]]*145.037)*Table112345[[#This Row],[b (mm)]]*Table112345[[#This Row],[d (mm)]]*(1/25.4)^2)</f>
        <v>0.8124957248637098</v>
      </c>
      <c r="W17" s="111">
        <f>Table112345[[#This Row],[M (KN.mm)]]/$G$21</f>
        <v>0.65103165449186207</v>
      </c>
      <c r="X17" s="110">
        <f t="shared" si="4"/>
        <v>0.8124957248637098</v>
      </c>
      <c r="Y17" s="111">
        <f>2.98*Table112345[[#This Row],[d (mm)]]</f>
        <v>1579.4</v>
      </c>
      <c r="Z17" s="160">
        <v>530</v>
      </c>
      <c r="AA17" s="160">
        <v>611</v>
      </c>
      <c r="AB17" s="160">
        <v>306</v>
      </c>
      <c r="AC17" s="160">
        <v>66.099999999999994</v>
      </c>
      <c r="AD17" s="160">
        <v>2039</v>
      </c>
      <c r="AE17" s="160">
        <v>1.25</v>
      </c>
      <c r="AF17" s="160">
        <v>525</v>
      </c>
      <c r="AG17" s="111">
        <f>(1/3-0.21*(MIN(Table112345[[#This Row],[b (mm)]],AA17)/MAX(Table112345[[#This Row],[b (mm)]],AA17))*(MIN(Table112345[[#This Row],[b (mm)]],AA17)^4/(12*MAX(Table112345[[#This Row],[b (mm)]],AA17)^4)))*MAX(Table112345[[#This Row],[b (mm)]],AA17)*MIN(Table112345[[#This Row],[b (mm)]],AA17)^3</f>
        <v>5825930185.1099443</v>
      </c>
      <c r="AH17" s="111">
        <f>Table112345[[#This Row],[b (mm)]]*AA17^3/12</f>
        <v>5816527840.5</v>
      </c>
      <c r="AI17" s="160">
        <v>3162</v>
      </c>
      <c r="AK17" s="107"/>
    </row>
    <row r="18" spans="1:39" s="129" customFormat="1" x14ac:dyDescent="0.25">
      <c r="A18" s="153" t="s">
        <v>95</v>
      </c>
      <c r="B18" s="161">
        <v>6</v>
      </c>
      <c r="C18" s="111">
        <v>17</v>
      </c>
      <c r="D18" s="111">
        <f>Table112345[[#This Row],[a (mm)]]/Table112345[[#This Row],[d (mm)]]</f>
        <v>2.98</v>
      </c>
      <c r="E18" s="160">
        <v>200.16000000000003</v>
      </c>
      <c r="F18" s="137">
        <f>Table112345[[#This Row],[d (mm)]]</f>
        <v>530</v>
      </c>
      <c r="G18" s="111">
        <f t="shared" si="5"/>
        <v>316132.70400000009</v>
      </c>
      <c r="H18" s="111">
        <f t="shared" si="6"/>
        <v>2.063682744808071E-6</v>
      </c>
      <c r="I18" s="111">
        <f>G18/(Table112345[[#This Row],[b (mm)]]*Z18^2)</f>
        <v>3.6778690344062164E-3</v>
      </c>
      <c r="J18" s="111">
        <f t="shared" si="7"/>
        <v>0.55720759475933601</v>
      </c>
      <c r="K18" s="111">
        <f t="shared" si="8"/>
        <v>1.0941638657610063E-6</v>
      </c>
      <c r="L18" s="111">
        <f>E18/(Table112345[[#This Row],[b (mm)]]*Z18)</f>
        <v>1.2341842397336294E-3</v>
      </c>
      <c r="M18" s="111">
        <f>Table112345[[#This Row],[M (KN.mm)]]/(Table112345[[#This Row],[b (mm)]]*Table112345[[#This Row],[d (mm)]])</f>
        <v>1.9492705882352945</v>
      </c>
      <c r="N18" s="111">
        <f>Table112345[[#This Row],[M (KN.mm)]]/(Table112345[[#This Row],[b (mm)]]*Table112345[[#This Row],[h (mm)]])</f>
        <v>1.6908566477327434</v>
      </c>
      <c r="O18" s="111">
        <f>Table112345[[#This Row],[M (KN.mm)]]/(Table112345[[#This Row],[b (mm)]]*Table112345[[#This Row],[h (mm)]]*Table112345[[#This Row],[L(mm)]])</f>
        <v>5.3474277284400488E-4</v>
      </c>
      <c r="P18" s="111">
        <f>Table112345[[#This Row],[M (KN.mm)]]/(Table112345[[#This Row],[b (mm)]]*Table112345[[#This Row],[d (mm)]]*Table112345[[#This Row],[L(mm)]])</f>
        <v>6.1646761171261686E-4</v>
      </c>
      <c r="Q18" s="111">
        <f>Table112345[[#This Row],[M (KN.mm)]]/(Table112345[[#This Row],[b (mm)]]*Table112345[[#This Row],[h (mm)]]*Table112345[[#This Row],[L(mm)]]*Table112345[[#This Row],[fc (Mpa)]])</f>
        <v>8.0899057918911487E-6</v>
      </c>
      <c r="R18" s="111">
        <f>Table112345[[#This Row],[M (KN.mm)]]/(Table112345[[#This Row],[b (mm)]]*Table112345[[#This Row],[h (mm)]]*Table112345[[#This Row],[L(mm)]]/2)</f>
        <v>1.0694855456880098E-3</v>
      </c>
      <c r="S18" s="111">
        <f>Table112345[[#This Row],[M (KN.mm)]]/(Table112345[[#This Row],[a (mm)]]*Table112345[[#This Row],[b (mm)]]*Table112345[[#This Row],[h (mm)]]*Table112345[[#This Row],[L(mm)]]/2)</f>
        <v>6.7714673020641351E-7</v>
      </c>
      <c r="T18" s="111">
        <f>G18/($AL$5*AH18*0.001*Table112345[[#This Row],[pho (%)]])</f>
        <v>1.6509461958464569E-6</v>
      </c>
      <c r="U18" s="111">
        <f>Table112345[[#This Row],[M (KN.mm)]]/(Table112345[[#This Row],[b (mm)]]*Table112345[[#This Row],[d (mm)]]*Table112345[[#This Row],[pho (%)]])</f>
        <v>1.5594164705882356</v>
      </c>
      <c r="V18" s="111">
        <f>E18*224.8/(2*SQRT(Table112345[[#This Row],[fc (Mpa)]]*145.037)*Table112345[[#This Row],[b (mm)]]*Table112345[[#This Row],[d (mm)]]*(1/25.4)^2)</f>
        <v>0.91405769047167351</v>
      </c>
      <c r="W18" s="111">
        <f>Table112345[[#This Row],[M (KN.mm)]]/$G$21</f>
        <v>0.73241061130334495</v>
      </c>
      <c r="X18" s="110">
        <f t="shared" si="4"/>
        <v>0.91405769047167351</v>
      </c>
      <c r="Y18" s="111">
        <f>2.98*Table112345[[#This Row],[d (mm)]]</f>
        <v>1579.4</v>
      </c>
      <c r="Z18" s="160">
        <v>530</v>
      </c>
      <c r="AA18" s="160">
        <v>611</v>
      </c>
      <c r="AB18" s="160">
        <v>306</v>
      </c>
      <c r="AC18" s="160">
        <v>66.099999999999994</v>
      </c>
      <c r="AD18" s="160">
        <v>2039</v>
      </c>
      <c r="AE18" s="160">
        <v>1.25</v>
      </c>
      <c r="AF18" s="160">
        <v>525</v>
      </c>
      <c r="AG18" s="111">
        <f>(1/3-0.21*(MIN(Table112345[[#This Row],[b (mm)]],AA18)/MAX(Table112345[[#This Row],[b (mm)]],AA18))*(MIN(Table112345[[#This Row],[b (mm)]],AA18)^4/(12*MAX(Table112345[[#This Row],[b (mm)]],AA18)^4)))*MAX(Table112345[[#This Row],[b (mm)]],AA18)*MIN(Table112345[[#This Row],[b (mm)]],AA18)^3</f>
        <v>5825930185.1099443</v>
      </c>
      <c r="AH18" s="111">
        <f>Table112345[[#This Row],[b (mm)]]*AA18^3/12</f>
        <v>5816527840.5</v>
      </c>
      <c r="AI18" s="160">
        <v>3162</v>
      </c>
      <c r="AJ18"/>
      <c r="AK18" s="128"/>
      <c r="AL18" s="138"/>
      <c r="AM18" s="1"/>
    </row>
    <row r="19" spans="1:39" s="129" customFormat="1" x14ac:dyDescent="0.25">
      <c r="A19" s="153" t="s">
        <v>95</v>
      </c>
      <c r="B19" s="161">
        <v>7</v>
      </c>
      <c r="C19" s="111">
        <v>18</v>
      </c>
      <c r="D19" s="111">
        <f>Table112345[[#This Row],[a (mm)]]/Table112345[[#This Row],[d (mm)]]</f>
        <v>2.98</v>
      </c>
      <c r="E19" s="160">
        <v>222.40000000000003</v>
      </c>
      <c r="F19" s="137">
        <f>Table112345[[#This Row],[d (mm)]]</f>
        <v>530</v>
      </c>
      <c r="G19" s="111">
        <f t="shared" si="5"/>
        <v>351258.56000000006</v>
      </c>
      <c r="H19" s="111">
        <f t="shared" si="6"/>
        <v>2.2929808275645232E-6</v>
      </c>
      <c r="I19" s="111">
        <f>G19/(Table112345[[#This Row],[b (mm)]]*Z19^2)</f>
        <v>4.0865211493402399E-3</v>
      </c>
      <c r="J19" s="111">
        <f t="shared" si="7"/>
        <v>0.61911954973259542</v>
      </c>
      <c r="K19" s="111">
        <f t="shared" si="8"/>
        <v>1.2157376286233402E-6</v>
      </c>
      <c r="L19" s="111">
        <f>E19/(Table112345[[#This Row],[b (mm)]]*Z19)</f>
        <v>1.371315821926255E-3</v>
      </c>
      <c r="M19" s="111">
        <f>Table112345[[#This Row],[M (KN.mm)]]/(Table112345[[#This Row],[b (mm)]]*Table112345[[#This Row],[d (mm)]])</f>
        <v>2.1658562091503271</v>
      </c>
      <c r="N19" s="111">
        <f>Table112345[[#This Row],[M (KN.mm)]]/(Table112345[[#This Row],[b (mm)]]*Table112345[[#This Row],[h (mm)]])</f>
        <v>1.8787296085919367</v>
      </c>
      <c r="O19" s="111">
        <f>Table112345[[#This Row],[M (KN.mm)]]/(Table112345[[#This Row],[b (mm)]]*Table112345[[#This Row],[h (mm)]]*Table112345[[#This Row],[L(mm)]])</f>
        <v>5.9415863649333862E-4</v>
      </c>
      <c r="P19" s="111">
        <f>Table112345[[#This Row],[M (KN.mm)]]/(Table112345[[#This Row],[b (mm)]]*Table112345[[#This Row],[d (mm)]]*Table112345[[#This Row],[L(mm)]])</f>
        <v>6.8496401301401872E-4</v>
      </c>
      <c r="Q19" s="111">
        <f>Table112345[[#This Row],[M (KN.mm)]]/(Table112345[[#This Row],[b (mm)]]*Table112345[[#This Row],[h (mm)]]*Table112345[[#This Row],[L(mm)]]*Table112345[[#This Row],[fc (Mpa)]])</f>
        <v>8.9887842132123863E-6</v>
      </c>
      <c r="R19" s="111">
        <f>Table112345[[#This Row],[M (KN.mm)]]/(Table112345[[#This Row],[b (mm)]]*Table112345[[#This Row],[h (mm)]]*Table112345[[#This Row],[L(mm)]]/2)</f>
        <v>1.1883172729866772E-3</v>
      </c>
      <c r="S19" s="111">
        <f>Table112345[[#This Row],[M (KN.mm)]]/(Table112345[[#This Row],[a (mm)]]*Table112345[[#This Row],[b (mm)]]*Table112345[[#This Row],[h (mm)]]*Table112345[[#This Row],[L(mm)]]/2)</f>
        <v>7.5238525578490379E-7</v>
      </c>
      <c r="T19" s="111">
        <f>G19/($AL$5*AH19*0.001*Table112345[[#This Row],[pho (%)]])</f>
        <v>1.8343846620516186E-6</v>
      </c>
      <c r="U19" s="111">
        <f>Table112345[[#This Row],[M (KN.mm)]]/(Table112345[[#This Row],[b (mm)]]*Table112345[[#This Row],[d (mm)]]*Table112345[[#This Row],[pho (%)]])</f>
        <v>1.7326849673202618</v>
      </c>
      <c r="V19" s="111">
        <f>E19*224.8/(2*SQRT(Table112345[[#This Row],[fc (Mpa)]]*145.037)*Table112345[[#This Row],[b (mm)]]*Table112345[[#This Row],[d (mm)]]*(1/25.4)^2)</f>
        <v>1.0156196560796373</v>
      </c>
      <c r="W19" s="111">
        <f>Table112345[[#This Row],[M (KN.mm)]]/$G$21</f>
        <v>0.81378956811482761</v>
      </c>
      <c r="X19" s="110">
        <f t="shared" si="4"/>
        <v>1.0156196560796373</v>
      </c>
      <c r="Y19" s="111">
        <f>2.98*Table112345[[#This Row],[d (mm)]]</f>
        <v>1579.4</v>
      </c>
      <c r="Z19" s="160">
        <v>530</v>
      </c>
      <c r="AA19" s="160">
        <v>611</v>
      </c>
      <c r="AB19" s="160">
        <v>306</v>
      </c>
      <c r="AC19" s="160">
        <v>66.099999999999994</v>
      </c>
      <c r="AD19" s="160">
        <v>2039</v>
      </c>
      <c r="AE19" s="160">
        <v>1.25</v>
      </c>
      <c r="AF19" s="160">
        <v>525</v>
      </c>
      <c r="AG19" s="111">
        <f>(1/3-0.21*(MIN(Table112345[[#This Row],[b (mm)]],AA19)/MAX(Table112345[[#This Row],[b (mm)]],AA19))*(MIN(Table112345[[#This Row],[b (mm)]],AA19)^4/(12*MAX(Table112345[[#This Row],[b (mm)]],AA19)^4)))*MAX(Table112345[[#This Row],[b (mm)]],AA19)*MIN(Table112345[[#This Row],[b (mm)]],AA19)^3</f>
        <v>5825930185.1099443</v>
      </c>
      <c r="AH19" s="111">
        <f>Table112345[[#This Row],[b (mm)]]*AA19^3/12</f>
        <v>5816527840.5</v>
      </c>
      <c r="AI19" s="160">
        <v>3162</v>
      </c>
      <c r="AJ19"/>
      <c r="AK19" s="128"/>
      <c r="AL19" s="138"/>
      <c r="AM19" s="1"/>
    </row>
    <row r="20" spans="1:39" s="129" customFormat="1" x14ac:dyDescent="0.25">
      <c r="A20" s="153" t="s">
        <v>95</v>
      </c>
      <c r="B20" s="161">
        <v>8</v>
      </c>
      <c r="C20" s="111">
        <v>19</v>
      </c>
      <c r="D20" s="111">
        <f>Table112345[[#This Row],[a (mm)]]/Table112345[[#This Row],[d (mm)]]</f>
        <v>2.98</v>
      </c>
      <c r="E20" s="160">
        <v>244.64000000000001</v>
      </c>
      <c r="F20" s="137">
        <f>Table112345[[#This Row],[d (mm)]]</f>
        <v>530</v>
      </c>
      <c r="G20" s="111">
        <f t="shared" si="5"/>
        <v>386384.41600000003</v>
      </c>
      <c r="H20" s="111">
        <f t="shared" si="6"/>
        <v>2.5222789103209754E-6</v>
      </c>
      <c r="I20" s="111">
        <f>G20/(Table112345[[#This Row],[b (mm)]]*Z20^2)</f>
        <v>4.4951732642742638E-3</v>
      </c>
      <c r="J20" s="111">
        <f t="shared" si="7"/>
        <v>0.68103150470585494</v>
      </c>
      <c r="K20" s="111">
        <f t="shared" si="8"/>
        <v>1.3373113914856741E-6</v>
      </c>
      <c r="L20" s="111">
        <f>E20/(Table112345[[#This Row],[b (mm)]]*Z20)</f>
        <v>1.5084474041188803E-3</v>
      </c>
      <c r="M20" s="111">
        <f>Table112345[[#This Row],[M (KN.mm)]]/(Table112345[[#This Row],[b (mm)]]*Table112345[[#This Row],[d (mm)]])</f>
        <v>2.3824418300653596</v>
      </c>
      <c r="N20" s="111">
        <f>Table112345[[#This Row],[M (KN.mm)]]/(Table112345[[#This Row],[b (mm)]]*Table112345[[#This Row],[h (mm)]])</f>
        <v>2.0666025694511303</v>
      </c>
      <c r="O20" s="111">
        <f>Table112345[[#This Row],[M (KN.mm)]]/(Table112345[[#This Row],[b (mm)]]*Table112345[[#This Row],[h (mm)]]*Table112345[[#This Row],[L(mm)]])</f>
        <v>6.5357450014267248E-4</v>
      </c>
      <c r="P20" s="111">
        <f>Table112345[[#This Row],[M (KN.mm)]]/(Table112345[[#This Row],[b (mm)]]*Table112345[[#This Row],[d (mm)]]*Table112345[[#This Row],[L(mm)]])</f>
        <v>7.5346041431542047E-4</v>
      </c>
      <c r="Q20" s="111">
        <f>Table112345[[#This Row],[M (KN.mm)]]/(Table112345[[#This Row],[b (mm)]]*Table112345[[#This Row],[h (mm)]]*Table112345[[#This Row],[L(mm)]]*Table112345[[#This Row],[fc (Mpa)]])</f>
        <v>9.887662634533624E-6</v>
      </c>
      <c r="R20" s="111">
        <f>Table112345[[#This Row],[M (KN.mm)]]/(Table112345[[#This Row],[b (mm)]]*Table112345[[#This Row],[h (mm)]]*Table112345[[#This Row],[L(mm)]]/2)</f>
        <v>1.307149000285345E-3</v>
      </c>
      <c r="S20" s="111">
        <f>Table112345[[#This Row],[M (KN.mm)]]/(Table112345[[#This Row],[a (mm)]]*Table112345[[#This Row],[b (mm)]]*Table112345[[#This Row],[h (mm)]]*Table112345[[#This Row],[L(mm)]]/2)</f>
        <v>8.2762378136339407E-7</v>
      </c>
      <c r="T20" s="111">
        <f>G20/($AL$5*AH20*0.001*Table112345[[#This Row],[pho (%)]])</f>
        <v>2.0178231282567802E-6</v>
      </c>
      <c r="U20" s="111">
        <f>Table112345[[#This Row],[M (KN.mm)]]/(Table112345[[#This Row],[b (mm)]]*Table112345[[#This Row],[d (mm)]]*Table112345[[#This Row],[pho (%)]])</f>
        <v>1.9059534640522877</v>
      </c>
      <c r="V20" s="111">
        <f>E20*224.8/(2*SQRT(Table112345[[#This Row],[fc (Mpa)]]*145.037)*Table112345[[#This Row],[b (mm)]]*Table112345[[#This Row],[d (mm)]]*(1/25.4)^2)</f>
        <v>1.1171816216876009</v>
      </c>
      <c r="W20" s="111">
        <f>Table112345[[#This Row],[M (KN.mm)]]/$G$21</f>
        <v>0.89516852492631027</v>
      </c>
      <c r="X20" s="110">
        <f t="shared" si="4"/>
        <v>1.1171816216876009</v>
      </c>
      <c r="Y20" s="111">
        <f>2.98*Table112345[[#This Row],[d (mm)]]</f>
        <v>1579.4</v>
      </c>
      <c r="Z20" s="160">
        <v>530</v>
      </c>
      <c r="AA20" s="160">
        <v>611</v>
      </c>
      <c r="AB20" s="160">
        <v>306</v>
      </c>
      <c r="AC20" s="160">
        <v>66.099999999999994</v>
      </c>
      <c r="AD20" s="160">
        <v>2039</v>
      </c>
      <c r="AE20" s="160">
        <v>1.25</v>
      </c>
      <c r="AF20" s="160">
        <v>525</v>
      </c>
      <c r="AG20" s="111">
        <f>(1/3-0.21*(MIN(Table112345[[#This Row],[b (mm)]],AA20)/MAX(Table112345[[#This Row],[b (mm)]],AA20))*(MIN(Table112345[[#This Row],[b (mm)]],AA20)^4/(12*MAX(Table112345[[#This Row],[b (mm)]],AA20)^4)))*MAX(Table112345[[#This Row],[b (mm)]],AA20)*MIN(Table112345[[#This Row],[b (mm)]],AA20)^3</f>
        <v>5825930185.1099443</v>
      </c>
      <c r="AH20" s="111">
        <f>Table112345[[#This Row],[b (mm)]]*AA20^3/12</f>
        <v>5816527840.5</v>
      </c>
      <c r="AI20" s="160">
        <v>3162</v>
      </c>
      <c r="AJ20"/>
      <c r="AK20" s="128"/>
      <c r="AL20" s="138"/>
      <c r="AM20" s="1"/>
    </row>
    <row r="21" spans="1:39" s="129" customFormat="1" x14ac:dyDescent="0.25">
      <c r="A21" s="153" t="s">
        <v>95</v>
      </c>
      <c r="B21" s="161" t="s">
        <v>92</v>
      </c>
      <c r="C21" s="111">
        <v>20</v>
      </c>
      <c r="D21" s="111">
        <f>Table112345[[#This Row],[a (mm)]]/Table112345[[#This Row],[d (mm)]]</f>
        <v>2.98</v>
      </c>
      <c r="E21" s="166">
        <v>273.2893228346457</v>
      </c>
      <c r="F21" s="137">
        <f>Table112345[[#This Row],[d (mm)]]</f>
        <v>530</v>
      </c>
      <c r="G21" s="111">
        <f t="shared" si="5"/>
        <v>431633.15648503945</v>
      </c>
      <c r="H21" s="111">
        <f t="shared" si="6"/>
        <v>2.8176581728324369E-6</v>
      </c>
      <c r="I21" s="111">
        <f>G21/(Table112345[[#This Row],[b (mm)]]*Z21^2)</f>
        <v>5.0215944139058097E-3</v>
      </c>
      <c r="J21" s="111">
        <f t="shared" si="7"/>
        <v>0.76078580260841611</v>
      </c>
      <c r="K21" s="111">
        <f t="shared" si="8"/>
        <v>1.4939213726217203E-6</v>
      </c>
      <c r="L21" s="111">
        <f>E21/(Table112345[[#This Row],[b (mm)]]*Z21)</f>
        <v>1.6850987966126878E-3</v>
      </c>
      <c r="M21" s="111">
        <f>Table112345[[#This Row],[M (KN.mm)]]/(Table112345[[#This Row],[b (mm)]]*Table112345[[#This Row],[d (mm)]])</f>
        <v>2.6614450393700793</v>
      </c>
      <c r="N21" s="111">
        <f>Table112345[[#This Row],[M (KN.mm)]]/(Table112345[[#This Row],[b (mm)]]*Table112345[[#This Row],[h (mm)]])</f>
        <v>2.3086184465894304</v>
      </c>
      <c r="O21" s="111">
        <f>Table112345[[#This Row],[M (KN.mm)]]/(Table112345[[#This Row],[b (mm)]]*Table112345[[#This Row],[h (mm)]]*Table112345[[#This Row],[L(mm)]])</f>
        <v>7.3011336071771992E-4</v>
      </c>
      <c r="P21" s="111">
        <f>Table112345[[#This Row],[M (KN.mm)]]/(Table112345[[#This Row],[b (mm)]]*Table112345[[#This Row],[d (mm)]]*Table112345[[#This Row],[L(mm)]])</f>
        <v>8.4169672339344699E-4</v>
      </c>
      <c r="Q21" s="111">
        <f>Table112345[[#This Row],[M (KN.mm)]]/(Table112345[[#This Row],[b (mm)]]*Table112345[[#This Row],[h (mm)]]*Table112345[[#This Row],[L(mm)]]*Table112345[[#This Row],[fc (Mpa)]])</f>
        <v>1.104558790798366E-5</v>
      </c>
      <c r="R21" s="111">
        <f>Table112345[[#This Row],[M (KN.mm)]]/(Table112345[[#This Row],[b (mm)]]*Table112345[[#This Row],[h (mm)]]*Table112345[[#This Row],[L(mm)]]/2)</f>
        <v>1.4602267214354398E-3</v>
      </c>
      <c r="S21" s="111">
        <f>Table112345[[#This Row],[M (KN.mm)]]/(Table112345[[#This Row],[a (mm)]]*Table112345[[#This Row],[b (mm)]]*Table112345[[#This Row],[h (mm)]]*Table112345[[#This Row],[L(mm)]]/2)</f>
        <v>9.2454522061253614E-7</v>
      </c>
      <c r="T21" s="111">
        <f>G21/($AL$5*AH21*0.001*Table112345[[#This Row],[pho (%)]])</f>
        <v>2.2541265382659498E-6</v>
      </c>
      <c r="U21" s="111">
        <f>Table112345[[#This Row],[M (KN.mm)]]/(Table112345[[#This Row],[b (mm)]]*Table112345[[#This Row],[d (mm)]]*Table112345[[#This Row],[pho (%)]])</f>
        <v>2.1291560314960636</v>
      </c>
      <c r="V21" s="111">
        <f>E21*224.8/(2*SQRT(Table112345[[#This Row],[fc (Mpa)]]*145.037)*Table112345[[#This Row],[b (mm)]]*Table112345[[#This Row],[d (mm)]]*(1/25.4)^2)</f>
        <v>1.2480126262030566</v>
      </c>
      <c r="W21" s="111">
        <f>Table112345[[#This Row],[M (KN.mm)]]/$G$21</f>
        <v>1</v>
      </c>
      <c r="X21" s="110">
        <f t="shared" si="4"/>
        <v>1.2480126262030566</v>
      </c>
      <c r="Y21" s="111">
        <f>2.98*Table112345[[#This Row],[d (mm)]]</f>
        <v>1579.4</v>
      </c>
      <c r="Z21" s="160">
        <v>530</v>
      </c>
      <c r="AA21" s="160">
        <v>611</v>
      </c>
      <c r="AB21" s="160">
        <v>306</v>
      </c>
      <c r="AC21" s="160">
        <v>66.099999999999994</v>
      </c>
      <c r="AD21" s="160">
        <v>2039</v>
      </c>
      <c r="AE21" s="160">
        <v>1.25</v>
      </c>
      <c r="AF21" s="160">
        <v>525</v>
      </c>
      <c r="AG21" s="111">
        <f>(1/3-0.21*(MIN(Table112345[[#This Row],[b (mm)]],AA21)/MAX(Table112345[[#This Row],[b (mm)]],AA21))*(MIN(Table112345[[#This Row],[b (mm)]],AA21)^4/(12*MAX(Table112345[[#This Row],[b (mm)]],AA21)^4)))*MAX(Table112345[[#This Row],[b (mm)]],AA21)*MIN(Table112345[[#This Row],[b (mm)]],AA21)^3</f>
        <v>5825930185.1099443</v>
      </c>
      <c r="AH21" s="111">
        <f>Table112345[[#This Row],[b (mm)]]*AA21^3/12</f>
        <v>5816527840.5</v>
      </c>
      <c r="AI21" s="160">
        <v>3162</v>
      </c>
      <c r="AJ21"/>
      <c r="AK21" s="128"/>
      <c r="AL21" s="138"/>
      <c r="AM21" s="1"/>
    </row>
    <row r="22" spans="1:39" s="129" customFormat="1" ht="16.5" customHeight="1" x14ac:dyDescent="0.25">
      <c r="A22" s="153" t="s">
        <v>95</v>
      </c>
      <c r="B22" s="161" t="s">
        <v>93</v>
      </c>
      <c r="C22" s="111">
        <v>21</v>
      </c>
      <c r="D22" s="111">
        <f>Table112345[[#This Row],[a (mm)]]/Table112345[[#This Row],[d (mm)]]</f>
        <v>2.98</v>
      </c>
      <c r="E22" s="166">
        <v>273.2893228346457</v>
      </c>
      <c r="F22" s="137">
        <f>Table112345[[#This Row],[d (mm)]]</f>
        <v>530</v>
      </c>
      <c r="G22" s="111">
        <f t="shared" si="5"/>
        <v>431633.15648503945</v>
      </c>
      <c r="H22" s="111">
        <f t="shared" si="6"/>
        <v>2.8176581728324369E-6</v>
      </c>
      <c r="I22" s="111">
        <f>G22/(Table112345[[#This Row],[b (mm)]]*Z22^2)</f>
        <v>5.0215944139058097E-3</v>
      </c>
      <c r="J22" s="111">
        <f t="shared" si="7"/>
        <v>0.76078580260841611</v>
      </c>
      <c r="K22" s="111">
        <f t="shared" si="8"/>
        <v>1.4939213726217203E-6</v>
      </c>
      <c r="L22" s="111">
        <f>E22/(Table112345[[#This Row],[b (mm)]]*Z22)</f>
        <v>1.6850987966126878E-3</v>
      </c>
      <c r="M22" s="111">
        <f>Table112345[[#This Row],[M (KN.mm)]]/(Table112345[[#This Row],[b (mm)]]*Table112345[[#This Row],[d (mm)]])</f>
        <v>2.6614450393700793</v>
      </c>
      <c r="N22" s="111">
        <f>Table112345[[#This Row],[M (KN.mm)]]/(Table112345[[#This Row],[b (mm)]]*Table112345[[#This Row],[h (mm)]])</f>
        <v>2.3086184465894304</v>
      </c>
      <c r="O22" s="111">
        <f>Table112345[[#This Row],[M (KN.mm)]]/(Table112345[[#This Row],[b (mm)]]*Table112345[[#This Row],[h (mm)]]*Table112345[[#This Row],[L(mm)]])</f>
        <v>7.3011336071771992E-4</v>
      </c>
      <c r="P22" s="111">
        <f>Table112345[[#This Row],[M (KN.mm)]]/(Table112345[[#This Row],[b (mm)]]*Table112345[[#This Row],[d (mm)]]*Table112345[[#This Row],[L(mm)]])</f>
        <v>8.4169672339344699E-4</v>
      </c>
      <c r="Q22" s="111">
        <f>Table112345[[#This Row],[M (KN.mm)]]/(Table112345[[#This Row],[b (mm)]]*Table112345[[#This Row],[h (mm)]]*Table112345[[#This Row],[L(mm)]]*Table112345[[#This Row],[fc (Mpa)]])</f>
        <v>1.104558790798366E-5</v>
      </c>
      <c r="R22" s="111">
        <f>Table112345[[#This Row],[M (KN.mm)]]/(Table112345[[#This Row],[b (mm)]]*Table112345[[#This Row],[h (mm)]]*Table112345[[#This Row],[L(mm)]]/2)</f>
        <v>1.4602267214354398E-3</v>
      </c>
      <c r="S22" s="111">
        <f>Table112345[[#This Row],[M (KN.mm)]]/(Table112345[[#This Row],[a (mm)]]*Table112345[[#This Row],[b (mm)]]*Table112345[[#This Row],[h (mm)]]*Table112345[[#This Row],[L(mm)]]/2)</f>
        <v>9.2454522061253614E-7</v>
      </c>
      <c r="T22" s="111">
        <f>G22/($AL$5*AH22*0.001*Table112345[[#This Row],[pho (%)]])</f>
        <v>2.2541265382659498E-6</v>
      </c>
      <c r="U22" s="111">
        <f>Table112345[[#This Row],[M (KN.mm)]]/(Table112345[[#This Row],[b (mm)]]*Table112345[[#This Row],[d (mm)]]*Table112345[[#This Row],[pho (%)]])</f>
        <v>2.1291560314960636</v>
      </c>
      <c r="V22" s="111">
        <f>E22*224.8/(2*SQRT(Table112345[[#This Row],[fc (Mpa)]]*145.037)*Table112345[[#This Row],[b (mm)]]*Table112345[[#This Row],[d (mm)]]*(1/25.4)^2)</f>
        <v>1.2480126262030566</v>
      </c>
      <c r="W22" s="111">
        <f>Table112345[[#This Row],[M (KN.mm)]]/$G$21</f>
        <v>1</v>
      </c>
      <c r="X22" s="110">
        <f t="shared" si="4"/>
        <v>1.2480126262030566</v>
      </c>
      <c r="Y22" s="111">
        <f>2.98*Table112345[[#This Row],[d (mm)]]</f>
        <v>1579.4</v>
      </c>
      <c r="Z22" s="160">
        <v>530</v>
      </c>
      <c r="AA22" s="160">
        <v>611</v>
      </c>
      <c r="AB22" s="160">
        <v>306</v>
      </c>
      <c r="AC22" s="160">
        <v>66.099999999999994</v>
      </c>
      <c r="AD22" s="160">
        <v>2039</v>
      </c>
      <c r="AE22" s="160">
        <v>1.25</v>
      </c>
      <c r="AF22" s="160">
        <v>525</v>
      </c>
      <c r="AG22" s="111">
        <f>(1/3-0.21*(MIN(Table112345[[#This Row],[b (mm)]],AA22)/MAX(Table112345[[#This Row],[b (mm)]],AA22))*(MIN(Table112345[[#This Row],[b (mm)]],AA22)^4/(12*MAX(Table112345[[#This Row],[b (mm)]],AA22)^4)))*MAX(Table112345[[#This Row],[b (mm)]],AA22)*MIN(Table112345[[#This Row],[b (mm)]],AA22)^3</f>
        <v>5825930185.1099443</v>
      </c>
      <c r="AH22" s="111">
        <f>Table112345[[#This Row],[b (mm)]]*AA22^3/12</f>
        <v>5816527840.5</v>
      </c>
      <c r="AI22" s="160">
        <v>3162</v>
      </c>
      <c r="AJ22"/>
      <c r="AK22" s="138"/>
      <c r="AL22" s="138"/>
      <c r="AM22" s="1"/>
    </row>
    <row r="23" spans="1:39" s="129" customFormat="1" x14ac:dyDescent="0.25">
      <c r="A23" s="154" t="s">
        <v>96</v>
      </c>
      <c r="B23" s="162">
        <v>1</v>
      </c>
      <c r="C23" s="111">
        <v>22</v>
      </c>
      <c r="D23" s="111">
        <f>Table112345[[#This Row],[a (mm)]]/Table112345[[#This Row],[d (mm)]]</f>
        <v>2.98</v>
      </c>
      <c r="E23" s="160">
        <v>124.54400000000001</v>
      </c>
      <c r="F23" s="137">
        <f>Table112345[[#This Row],[d (mm)]]</f>
        <v>681</v>
      </c>
      <c r="G23" s="111">
        <f t="shared" ref="G23:G32" si="9">E23*Y23</f>
        <v>252747.10272</v>
      </c>
      <c r="H23" s="111">
        <f t="shared" ref="H23:H32" si="10">G23/($AL$5*AH23*0.001)</f>
        <v>8.5337515868152085E-7</v>
      </c>
      <c r="I23" s="111">
        <f>G23/(Table112345[[#This Row],[b (mm)]]*Z23^2)</f>
        <v>1.7868665655617342E-3</v>
      </c>
      <c r="J23" s="111">
        <f t="shared" ref="J23:J32" si="11">G23/(AD23*AF23*Z23*0.001)</f>
        <v>0.27389983210641866</v>
      </c>
      <c r="K23" s="111">
        <f t="shared" ref="K23:K32" si="12">E23/($AL$4*AG23*0.001)</f>
        <v>5.5067357178921684E-7</v>
      </c>
      <c r="L23" s="111">
        <f>E23/(Table112345[[#This Row],[b (mm)]]*Z23)</f>
        <v>5.996196528730652E-4</v>
      </c>
      <c r="M23" s="111">
        <f>Table112345[[#This Row],[M (KN.mm)]]/(Table112345[[#This Row],[b (mm)]]*Table112345[[#This Row],[d (mm)]])</f>
        <v>1.216856131147541</v>
      </c>
      <c r="N23" s="111">
        <f>Table112345[[#This Row],[M (KN.mm)]]/(Table112345[[#This Row],[b (mm)]]*Table112345[[#This Row],[h (mm)]])</f>
        <v>1.0875052825609914</v>
      </c>
      <c r="O23" s="111">
        <f>Table112345[[#This Row],[M (KN.mm)]]/(Table112345[[#This Row],[b (mm)]]*Table112345[[#This Row],[h (mm)]]*Table112345[[#This Row],[L(mm)]])</f>
        <v>2.6759480377977149E-4</v>
      </c>
      <c r="P23" s="111">
        <f>Table112345[[#This Row],[M (KN.mm)]]/(Table112345[[#This Row],[b (mm)]]*Table112345[[#This Row],[d (mm)]]*Table112345[[#This Row],[L(mm)]])</f>
        <v>2.9942326061701305E-4</v>
      </c>
      <c r="Q23" s="111">
        <f>Table112345[[#This Row],[M (KN.mm)]]/(Table112345[[#This Row],[b (mm)]]*Table112345[[#This Row],[h (mm)]]*Table112345[[#This Row],[L(mm)]]*Table112345[[#This Row],[fc (Mpa)]])</f>
        <v>4.1168431350734077E-6</v>
      </c>
      <c r="R23" s="111">
        <f>Table112345[[#This Row],[M (KN.mm)]]/(Table112345[[#This Row],[b (mm)]]*Table112345[[#This Row],[h (mm)]]*Table112345[[#This Row],[L(mm)]]/2)</f>
        <v>5.3518960755954297E-4</v>
      </c>
      <c r="S23" s="111">
        <f>Table112345[[#This Row],[M (KN.mm)]]/(Table112345[[#This Row],[a (mm)]]*Table112345[[#This Row],[b (mm)]]*Table112345[[#This Row],[h (mm)]]*Table112345[[#This Row],[L(mm)]]/2)</f>
        <v>2.6372074602072704E-7</v>
      </c>
      <c r="T23" s="111">
        <f>G23/($AL$5*AH23*0.001*Table112345[[#This Row],[pho (%)]])</f>
        <v>6.8820577313025886E-7</v>
      </c>
      <c r="U23" s="111">
        <f>Table112345[[#This Row],[M (KN.mm)]]/(Table112345[[#This Row],[b (mm)]]*Table112345[[#This Row],[d (mm)]]*Table112345[[#This Row],[pho (%)]])</f>
        <v>0.98133558963511358</v>
      </c>
      <c r="V23" s="111">
        <f>E23*224.8/(2*SQRT(Table112345[[#This Row],[fc (Mpa)]]*145.037)*Table112345[[#This Row],[b (mm)]]*Table112345[[#This Row],[d (mm)]]*(1/25.4)^2)</f>
        <v>0.44783034780876441</v>
      </c>
      <c r="W23" s="111">
        <f>Table112345[[#This Row],[M (KN.mm)]]/$G$31</f>
        <v>0.42396423248882265</v>
      </c>
      <c r="X23" s="110">
        <f t="shared" si="4"/>
        <v>0.44783034780876441</v>
      </c>
      <c r="Y23" s="111">
        <f>2.98*Table112345[[#This Row],[d (mm)]]</f>
        <v>2029.3799999999999</v>
      </c>
      <c r="Z23" s="160">
        <v>681</v>
      </c>
      <c r="AA23" s="160">
        <v>762</v>
      </c>
      <c r="AB23" s="160">
        <v>305</v>
      </c>
      <c r="AC23" s="160">
        <v>65</v>
      </c>
      <c r="AD23" s="160">
        <v>2581</v>
      </c>
      <c r="AE23" s="160">
        <v>1.24</v>
      </c>
      <c r="AF23" s="160">
        <v>525</v>
      </c>
      <c r="AG23" s="111">
        <f>(1/3-0.21*(MIN(Table112345[[#This Row],[b (mm)]],AA23)/MAX(Table112345[[#This Row],[b (mm)]],AA23))*(MIN(Table112345[[#This Row],[b (mm)]],AA23)^4/(12*MAX(Table112345[[#This Row],[b (mm)]],AA23)^4)))*MAX(Table112345[[#This Row],[b (mm)]],AA23)*MIN(Table112345[[#This Row],[b (mm)]],AA23)^3</f>
        <v>7202759729.0792322</v>
      </c>
      <c r="AH23" s="111">
        <f>Table112345[[#This Row],[b (mm)]]*AA23^3/12</f>
        <v>11245622670</v>
      </c>
      <c r="AI23" s="160">
        <v>4064</v>
      </c>
      <c r="AJ23"/>
      <c r="AK23" s="138"/>
      <c r="AL23" s="138"/>
      <c r="AM23" s="1"/>
    </row>
    <row r="24" spans="1:39" s="129" customFormat="1" x14ac:dyDescent="0.25">
      <c r="A24" s="154" t="s">
        <v>96</v>
      </c>
      <c r="B24" s="162">
        <v>2</v>
      </c>
      <c r="C24" s="111">
        <v>23</v>
      </c>
      <c r="D24" s="111">
        <f>Table112345[[#This Row],[a (mm)]]/Table112345[[#This Row],[d (mm)]]</f>
        <v>2.98</v>
      </c>
      <c r="E24" s="160">
        <v>133.44</v>
      </c>
      <c r="F24" s="137">
        <f>Table112345[[#This Row],[d (mm)]]</f>
        <v>681</v>
      </c>
      <c r="G24" s="111">
        <f t="shared" si="9"/>
        <v>270800.46719999996</v>
      </c>
      <c r="H24" s="111">
        <f t="shared" si="10"/>
        <v>9.1433052715877226E-7</v>
      </c>
      <c r="I24" s="111">
        <f>G24/(Table112345[[#This Row],[b (mm)]]*Z24^2)</f>
        <v>1.9144998916732863E-3</v>
      </c>
      <c r="J24" s="111">
        <f t="shared" si="11"/>
        <v>0.29346410582830568</v>
      </c>
      <c r="K24" s="111">
        <f t="shared" si="12"/>
        <v>5.9000739834558945E-7</v>
      </c>
      <c r="L24" s="111">
        <f>E24/(Table112345[[#This Row],[b (mm)]]*Z24)</f>
        <v>6.4244962807828406E-4</v>
      </c>
      <c r="M24" s="111">
        <f>Table112345[[#This Row],[M (KN.mm)]]/(Table112345[[#This Row],[b (mm)]]*Table112345[[#This Row],[d (mm)]])</f>
        <v>1.3037744262295079</v>
      </c>
      <c r="N24" s="111">
        <f>Table112345[[#This Row],[M (KN.mm)]]/(Table112345[[#This Row],[b (mm)]]*Table112345[[#This Row],[h (mm)]])</f>
        <v>1.1651842313153478</v>
      </c>
      <c r="O24" s="111">
        <f>Table112345[[#This Row],[M (KN.mm)]]/(Table112345[[#This Row],[b (mm)]]*Table112345[[#This Row],[h (mm)]]*Table112345[[#This Row],[L(mm)]])</f>
        <v>2.8670871833546939E-4</v>
      </c>
      <c r="P24" s="111">
        <f>Table112345[[#This Row],[M (KN.mm)]]/(Table112345[[#This Row],[b (mm)]]*Table112345[[#This Row],[d (mm)]]*Table112345[[#This Row],[L(mm)]])</f>
        <v>3.2081063637537106E-4</v>
      </c>
      <c r="Q24" s="111">
        <f>Table112345[[#This Row],[M (KN.mm)]]/(Table112345[[#This Row],[b (mm)]]*Table112345[[#This Row],[h (mm)]]*Table112345[[#This Row],[L(mm)]]*Table112345[[#This Row],[fc (Mpa)]])</f>
        <v>4.4109033590072214E-6</v>
      </c>
      <c r="R24" s="111">
        <f>Table112345[[#This Row],[M (KN.mm)]]/(Table112345[[#This Row],[b (mm)]]*Table112345[[#This Row],[h (mm)]]*Table112345[[#This Row],[L(mm)]]/2)</f>
        <v>5.7341743667093878E-4</v>
      </c>
      <c r="S24" s="111">
        <f>Table112345[[#This Row],[M (KN.mm)]]/(Table112345[[#This Row],[a (mm)]]*Table112345[[#This Row],[b (mm)]]*Table112345[[#This Row],[h (mm)]]*Table112345[[#This Row],[L(mm)]]/2)</f>
        <v>2.8255794216506465E-7</v>
      </c>
      <c r="T24" s="111">
        <f>G24/($AL$5*AH24*0.001*Table112345[[#This Row],[pho (%)]])</f>
        <v>7.3736332835384863E-7</v>
      </c>
      <c r="U24" s="111">
        <f>Table112345[[#This Row],[M (KN.mm)]]/(Table112345[[#This Row],[b (mm)]]*Table112345[[#This Row],[d (mm)]]*Table112345[[#This Row],[pho (%)]])</f>
        <v>1.0514309888947644</v>
      </c>
      <c r="V24" s="111">
        <f>E24*224.8/(2*SQRT(Table112345[[#This Row],[fc (Mpa)]]*145.037)*Table112345[[#This Row],[b (mm)]]*Table112345[[#This Row],[d (mm)]]*(1/25.4)^2)</f>
        <v>0.47981822979510469</v>
      </c>
      <c r="W24" s="111">
        <f>Table112345[[#This Row],[M (KN.mm)]]/$G$31</f>
        <v>0.4542473919523099</v>
      </c>
      <c r="X24" s="110">
        <f t="shared" si="4"/>
        <v>0.47981822979510469</v>
      </c>
      <c r="Y24" s="111">
        <f>2.98*Table112345[[#This Row],[d (mm)]]</f>
        <v>2029.3799999999999</v>
      </c>
      <c r="Z24" s="160">
        <v>681</v>
      </c>
      <c r="AA24" s="160">
        <v>762</v>
      </c>
      <c r="AB24" s="160">
        <v>305</v>
      </c>
      <c r="AC24" s="160">
        <v>65</v>
      </c>
      <c r="AD24" s="160">
        <v>2581</v>
      </c>
      <c r="AE24" s="160">
        <v>1.24</v>
      </c>
      <c r="AF24" s="160">
        <v>525</v>
      </c>
      <c r="AG24" s="111">
        <f>(1/3-0.21*(MIN(Table112345[[#This Row],[b (mm)]],AA24)/MAX(Table112345[[#This Row],[b (mm)]],AA24))*(MIN(Table112345[[#This Row],[b (mm)]],AA24)^4/(12*MAX(Table112345[[#This Row],[b (mm)]],AA24)^4)))*MAX(Table112345[[#This Row],[b (mm)]],AA24)*MIN(Table112345[[#This Row],[b (mm)]],AA24)^3</f>
        <v>7202759729.0792322</v>
      </c>
      <c r="AH24" s="111">
        <f>Table112345[[#This Row],[b (mm)]]*AA24^3/12</f>
        <v>11245622670</v>
      </c>
      <c r="AI24" s="160">
        <v>4064</v>
      </c>
      <c r="AJ24"/>
      <c r="AK24" s="138"/>
      <c r="AL24" s="138"/>
      <c r="AM24" s="1"/>
    </row>
    <row r="25" spans="1:39" s="129" customFormat="1" x14ac:dyDescent="0.25">
      <c r="A25" s="154" t="s">
        <v>96</v>
      </c>
      <c r="B25" s="162">
        <v>3</v>
      </c>
      <c r="C25" s="111">
        <v>24</v>
      </c>
      <c r="D25" s="111">
        <f>Table112345[[#This Row],[a (mm)]]/Table112345[[#This Row],[d (mm)]]</f>
        <v>2.98</v>
      </c>
      <c r="E25" s="160">
        <v>155.68</v>
      </c>
      <c r="F25" s="137">
        <f>Table112345[[#This Row],[d (mm)]]</f>
        <v>681</v>
      </c>
      <c r="G25" s="111">
        <f t="shared" si="9"/>
        <v>315933.87839999999</v>
      </c>
      <c r="H25" s="111">
        <f t="shared" si="10"/>
        <v>1.0667189483519011E-6</v>
      </c>
      <c r="I25" s="111">
        <f>G25/(Table112345[[#This Row],[b (mm)]]*Z25^2)</f>
        <v>2.2335832069521676E-3</v>
      </c>
      <c r="J25" s="111">
        <f t="shared" si="11"/>
        <v>0.34237479013302335</v>
      </c>
      <c r="K25" s="111">
        <f t="shared" si="12"/>
        <v>6.8834196473652099E-7</v>
      </c>
      <c r="L25" s="111">
        <f>E25/(Table112345[[#This Row],[b (mm)]]*Z25)</f>
        <v>7.4952456609133147E-4</v>
      </c>
      <c r="M25" s="111">
        <f>Table112345[[#This Row],[M (KN.mm)]]/(Table112345[[#This Row],[b (mm)]]*Table112345[[#This Row],[d (mm)]])</f>
        <v>1.5210701639344262</v>
      </c>
      <c r="N25" s="111">
        <f>Table112345[[#This Row],[M (KN.mm)]]/(Table112345[[#This Row],[b (mm)]]*Table112345[[#This Row],[h (mm)]])</f>
        <v>1.3593816032012391</v>
      </c>
      <c r="O25" s="111">
        <f>Table112345[[#This Row],[M (KN.mm)]]/(Table112345[[#This Row],[b (mm)]]*Table112345[[#This Row],[h (mm)]]*Table112345[[#This Row],[L(mm)]])</f>
        <v>3.3449350472471433E-4</v>
      </c>
      <c r="P25" s="111">
        <f>Table112345[[#This Row],[M (KN.mm)]]/(Table112345[[#This Row],[b (mm)]]*Table112345[[#This Row],[d (mm)]]*Table112345[[#This Row],[L(mm)]])</f>
        <v>3.7427907577126625E-4</v>
      </c>
      <c r="Q25" s="111">
        <f>Table112345[[#This Row],[M (KN.mm)]]/(Table112345[[#This Row],[b (mm)]]*Table112345[[#This Row],[h (mm)]]*Table112345[[#This Row],[L(mm)]]*Table112345[[#This Row],[fc (Mpa)]])</f>
        <v>5.146053918841759E-6</v>
      </c>
      <c r="R25" s="111">
        <f>Table112345[[#This Row],[M (KN.mm)]]/(Table112345[[#This Row],[b (mm)]]*Table112345[[#This Row],[h (mm)]]*Table112345[[#This Row],[L(mm)]]/2)</f>
        <v>6.6898700944942866E-4</v>
      </c>
      <c r="S25" s="111">
        <f>Table112345[[#This Row],[M (KN.mm)]]/(Table112345[[#This Row],[a (mm)]]*Table112345[[#This Row],[b (mm)]]*Table112345[[#This Row],[h (mm)]]*Table112345[[#This Row],[L(mm)]]/2)</f>
        <v>3.2965093252590882E-7</v>
      </c>
      <c r="T25" s="111">
        <f>G25/($AL$5*AH25*0.001*Table112345[[#This Row],[pho (%)]])</f>
        <v>8.6025721641282349E-7</v>
      </c>
      <c r="U25" s="111">
        <f>Table112345[[#This Row],[M (KN.mm)]]/(Table112345[[#This Row],[b (mm)]]*Table112345[[#This Row],[d (mm)]]*Table112345[[#This Row],[pho (%)]])</f>
        <v>1.2266694870438921</v>
      </c>
      <c r="V25" s="111">
        <f>E25*224.8/(2*SQRT(Table112345[[#This Row],[fc (Mpa)]]*145.037)*Table112345[[#This Row],[b (mm)]]*Table112345[[#This Row],[d (mm)]]*(1/25.4)^2)</f>
        <v>0.55978793476095545</v>
      </c>
      <c r="W25" s="111">
        <f>Table112345[[#This Row],[M (KN.mm)]]/$G$31</f>
        <v>0.52995529061102831</v>
      </c>
      <c r="X25" s="110">
        <f t="shared" si="4"/>
        <v>0.55978793476095545</v>
      </c>
      <c r="Y25" s="111">
        <f>2.98*Table112345[[#This Row],[d (mm)]]</f>
        <v>2029.3799999999999</v>
      </c>
      <c r="Z25" s="160">
        <v>681</v>
      </c>
      <c r="AA25" s="160">
        <v>762</v>
      </c>
      <c r="AB25" s="160">
        <v>305</v>
      </c>
      <c r="AC25" s="160">
        <v>65</v>
      </c>
      <c r="AD25" s="160">
        <v>2581</v>
      </c>
      <c r="AE25" s="160">
        <v>1.24</v>
      </c>
      <c r="AF25" s="160">
        <v>525</v>
      </c>
      <c r="AG25" s="111">
        <f>(1/3-0.21*(MIN(Table112345[[#This Row],[b (mm)]],AA25)/MAX(Table112345[[#This Row],[b (mm)]],AA25))*(MIN(Table112345[[#This Row],[b (mm)]],AA25)^4/(12*MAX(Table112345[[#This Row],[b (mm)]],AA25)^4)))*MAX(Table112345[[#This Row],[b (mm)]],AA25)*MIN(Table112345[[#This Row],[b (mm)]],AA25)^3</f>
        <v>7202759729.0792322</v>
      </c>
      <c r="AH25" s="111">
        <f>Table112345[[#This Row],[b (mm)]]*AA25^3/12</f>
        <v>11245622670</v>
      </c>
      <c r="AI25" s="160">
        <v>4064</v>
      </c>
      <c r="AJ25"/>
      <c r="AK25" s="138"/>
      <c r="AL25" s="138"/>
      <c r="AM25" s="1"/>
    </row>
    <row r="26" spans="1:39" s="129" customFormat="1" x14ac:dyDescent="0.25">
      <c r="A26" s="154" t="s">
        <v>96</v>
      </c>
      <c r="B26" s="162">
        <v>4</v>
      </c>
      <c r="C26" s="111">
        <v>25</v>
      </c>
      <c r="D26" s="111">
        <f>Table112345[[#This Row],[a (mm)]]/Table112345[[#This Row],[d (mm)]]</f>
        <v>2.98</v>
      </c>
      <c r="E26" s="160">
        <v>177.92000000000002</v>
      </c>
      <c r="F26" s="137">
        <f>Table112345[[#This Row],[d (mm)]]</f>
        <v>681</v>
      </c>
      <c r="G26" s="111">
        <f t="shared" si="9"/>
        <v>361067.28960000002</v>
      </c>
      <c r="H26" s="111">
        <f t="shared" si="10"/>
        <v>1.21910736954503E-6</v>
      </c>
      <c r="I26" s="111">
        <f>G26/(Table112345[[#This Row],[b (mm)]]*Z26^2)</f>
        <v>2.5526665222310491E-3</v>
      </c>
      <c r="J26" s="111">
        <f t="shared" si="11"/>
        <v>0.39128547443774103</v>
      </c>
      <c r="K26" s="111">
        <f t="shared" si="12"/>
        <v>7.8667653112745264E-7</v>
      </c>
      <c r="L26" s="111">
        <f>E26/(Table112345[[#This Row],[b (mm)]]*Z26)</f>
        <v>8.5659950410437889E-4</v>
      </c>
      <c r="M26" s="111">
        <f>Table112345[[#This Row],[M (KN.mm)]]/(Table112345[[#This Row],[b (mm)]]*Table112345[[#This Row],[d (mm)]])</f>
        <v>1.7383659016393445</v>
      </c>
      <c r="N26" s="111">
        <f>Table112345[[#This Row],[M (KN.mm)]]/(Table112345[[#This Row],[b (mm)]]*Table112345[[#This Row],[h (mm)]])</f>
        <v>1.5535789750871305</v>
      </c>
      <c r="O26" s="111">
        <f>Table112345[[#This Row],[M (KN.mm)]]/(Table112345[[#This Row],[b (mm)]]*Table112345[[#This Row],[h (mm)]]*Table112345[[#This Row],[L(mm)]])</f>
        <v>3.8227829111395927E-4</v>
      </c>
      <c r="P26" s="111">
        <f>Table112345[[#This Row],[M (KN.mm)]]/(Table112345[[#This Row],[b (mm)]]*Table112345[[#This Row],[d (mm)]]*Table112345[[#This Row],[L(mm)]])</f>
        <v>4.277475151671615E-4</v>
      </c>
      <c r="Q26" s="111">
        <f>Table112345[[#This Row],[M (KN.mm)]]/(Table112345[[#This Row],[b (mm)]]*Table112345[[#This Row],[h (mm)]]*Table112345[[#This Row],[L(mm)]]*Table112345[[#This Row],[fc (Mpa)]])</f>
        <v>5.8812044786762966E-6</v>
      </c>
      <c r="R26" s="111">
        <f>Table112345[[#This Row],[M (KN.mm)]]/(Table112345[[#This Row],[b (mm)]]*Table112345[[#This Row],[h (mm)]]*Table112345[[#This Row],[L(mm)]]/2)</f>
        <v>7.6455658222791855E-4</v>
      </c>
      <c r="S26" s="111">
        <f>Table112345[[#This Row],[M (KN.mm)]]/(Table112345[[#This Row],[a (mm)]]*Table112345[[#This Row],[b (mm)]]*Table112345[[#This Row],[h (mm)]]*Table112345[[#This Row],[L(mm)]]/2)</f>
        <v>3.7674392288675298E-7</v>
      </c>
      <c r="T26" s="111">
        <f>G26/($AL$5*AH26*0.001*Table112345[[#This Row],[pho (%)]])</f>
        <v>9.8315110447179846E-7</v>
      </c>
      <c r="U26" s="111">
        <f>Table112345[[#This Row],[M (KN.mm)]]/(Table112345[[#This Row],[b (mm)]]*Table112345[[#This Row],[d (mm)]]*Table112345[[#This Row],[pho (%)]])</f>
        <v>1.4019079851930196</v>
      </c>
      <c r="V26" s="111">
        <f>E26*224.8/(2*SQRT(Table112345[[#This Row],[fc (Mpa)]]*145.037)*Table112345[[#This Row],[b (mm)]]*Table112345[[#This Row],[d (mm)]]*(1/25.4)^2)</f>
        <v>0.63975763972680633</v>
      </c>
      <c r="W26" s="111">
        <f>Table112345[[#This Row],[M (KN.mm)]]/$G$31</f>
        <v>0.60566318926974672</v>
      </c>
      <c r="X26" s="110">
        <f t="shared" si="4"/>
        <v>0.63975763972680633</v>
      </c>
      <c r="Y26" s="111">
        <f>2.98*Table112345[[#This Row],[d (mm)]]</f>
        <v>2029.3799999999999</v>
      </c>
      <c r="Z26" s="160">
        <v>681</v>
      </c>
      <c r="AA26" s="160">
        <v>762</v>
      </c>
      <c r="AB26" s="160">
        <v>305</v>
      </c>
      <c r="AC26" s="160">
        <v>65</v>
      </c>
      <c r="AD26" s="160">
        <v>2581</v>
      </c>
      <c r="AE26" s="160">
        <v>1.24</v>
      </c>
      <c r="AF26" s="160">
        <v>525</v>
      </c>
      <c r="AG26" s="111">
        <f>(1/3-0.21*(MIN(Table112345[[#This Row],[b (mm)]],AA26)/MAX(Table112345[[#This Row],[b (mm)]],AA26))*(MIN(Table112345[[#This Row],[b (mm)]],AA26)^4/(12*MAX(Table112345[[#This Row],[b (mm)]],AA26)^4)))*MAX(Table112345[[#This Row],[b (mm)]],AA26)*MIN(Table112345[[#This Row],[b (mm)]],AA26)^3</f>
        <v>7202759729.0792322</v>
      </c>
      <c r="AH26" s="111">
        <f>Table112345[[#This Row],[b (mm)]]*AA26^3/12</f>
        <v>11245622670</v>
      </c>
      <c r="AI26" s="160">
        <v>4064</v>
      </c>
      <c r="AJ26"/>
      <c r="AK26" s="138"/>
      <c r="AL26" s="138"/>
      <c r="AM26" s="1"/>
    </row>
    <row r="27" spans="1:39" s="129" customFormat="1" x14ac:dyDescent="0.25">
      <c r="A27" s="154" t="s">
        <v>96</v>
      </c>
      <c r="B27" s="162">
        <v>5</v>
      </c>
      <c r="C27" s="111">
        <v>26</v>
      </c>
      <c r="D27" s="111">
        <f>Table112345[[#This Row],[a (mm)]]/Table112345[[#This Row],[d (mm)]]</f>
        <v>2.98</v>
      </c>
      <c r="E27" s="160">
        <v>200.16000000000003</v>
      </c>
      <c r="F27" s="137">
        <f>Table112345[[#This Row],[d (mm)]]</f>
        <v>681</v>
      </c>
      <c r="G27" s="111">
        <f t="shared" si="9"/>
        <v>406200.70080000005</v>
      </c>
      <c r="H27" s="111">
        <f t="shared" si="10"/>
        <v>1.3714957907381588E-6</v>
      </c>
      <c r="I27" s="111">
        <f>G27/(Table112345[[#This Row],[b (mm)]]*Z27^2)</f>
        <v>2.8717498375099302E-3</v>
      </c>
      <c r="J27" s="111">
        <f t="shared" si="11"/>
        <v>0.44019615874245865</v>
      </c>
      <c r="K27" s="111">
        <f t="shared" si="12"/>
        <v>8.8501109751838429E-7</v>
      </c>
      <c r="L27" s="111">
        <f>E27/(Table112345[[#This Row],[b (mm)]]*Z27)</f>
        <v>9.636744421174263E-4</v>
      </c>
      <c r="M27" s="111">
        <f>Table112345[[#This Row],[M (KN.mm)]]/(Table112345[[#This Row],[b (mm)]]*Table112345[[#This Row],[d (mm)]])</f>
        <v>1.9556616393442625</v>
      </c>
      <c r="N27" s="111">
        <f>Table112345[[#This Row],[M (KN.mm)]]/(Table112345[[#This Row],[b (mm)]]*Table112345[[#This Row],[h (mm)]])</f>
        <v>1.7477763469730221</v>
      </c>
      <c r="O27" s="111">
        <f>Table112345[[#This Row],[M (KN.mm)]]/(Table112345[[#This Row],[b (mm)]]*Table112345[[#This Row],[h (mm)]]*Table112345[[#This Row],[L(mm)]])</f>
        <v>4.3006307750320422E-4</v>
      </c>
      <c r="P27" s="111">
        <f>Table112345[[#This Row],[M (KN.mm)]]/(Table112345[[#This Row],[b (mm)]]*Table112345[[#This Row],[d (mm)]]*Table112345[[#This Row],[L(mm)]])</f>
        <v>4.8121595456305675E-4</v>
      </c>
      <c r="Q27" s="111">
        <f>Table112345[[#This Row],[M (KN.mm)]]/(Table112345[[#This Row],[b (mm)]]*Table112345[[#This Row],[h (mm)]]*Table112345[[#This Row],[L(mm)]]*Table112345[[#This Row],[fc (Mpa)]])</f>
        <v>6.6163550385108342E-6</v>
      </c>
      <c r="R27" s="111">
        <f>Table112345[[#This Row],[M (KN.mm)]]/(Table112345[[#This Row],[b (mm)]]*Table112345[[#This Row],[h (mm)]]*Table112345[[#This Row],[L(mm)]]/2)</f>
        <v>8.6012615500640844E-4</v>
      </c>
      <c r="S27" s="111">
        <f>Table112345[[#This Row],[M (KN.mm)]]/(Table112345[[#This Row],[a (mm)]]*Table112345[[#This Row],[b (mm)]]*Table112345[[#This Row],[h (mm)]]*Table112345[[#This Row],[L(mm)]]/2)</f>
        <v>4.2383691324759709E-7</v>
      </c>
      <c r="T27" s="111">
        <f>G27/($AL$5*AH27*0.001*Table112345[[#This Row],[pho (%)]])</f>
        <v>1.1060449925307733E-6</v>
      </c>
      <c r="U27" s="111">
        <f>Table112345[[#This Row],[M (KN.mm)]]/(Table112345[[#This Row],[b (mm)]]*Table112345[[#This Row],[d (mm)]]*Table112345[[#This Row],[pho (%)]])</f>
        <v>1.5771464833421471</v>
      </c>
      <c r="V27" s="111">
        <f>E27*224.8/(2*SQRT(Table112345[[#This Row],[fc (Mpa)]]*145.037)*Table112345[[#This Row],[b (mm)]]*Table112345[[#This Row],[d (mm)]]*(1/25.4)^2)</f>
        <v>0.71972734469265709</v>
      </c>
      <c r="W27" s="111">
        <f>Table112345[[#This Row],[M (KN.mm)]]/$G$31</f>
        <v>0.68137108792846501</v>
      </c>
      <c r="X27" s="110">
        <f t="shared" si="4"/>
        <v>0.71972734469265709</v>
      </c>
      <c r="Y27" s="111">
        <f>2.98*Table112345[[#This Row],[d (mm)]]</f>
        <v>2029.3799999999999</v>
      </c>
      <c r="Z27" s="160">
        <v>681</v>
      </c>
      <c r="AA27" s="160">
        <v>762</v>
      </c>
      <c r="AB27" s="160">
        <v>305</v>
      </c>
      <c r="AC27" s="160">
        <v>65</v>
      </c>
      <c r="AD27" s="160">
        <v>2581</v>
      </c>
      <c r="AE27" s="160">
        <v>1.24</v>
      </c>
      <c r="AF27" s="160">
        <v>525</v>
      </c>
      <c r="AG27" s="111">
        <f>(1/3-0.21*(MIN(Table112345[[#This Row],[b (mm)]],AA27)/MAX(Table112345[[#This Row],[b (mm)]],AA27))*(MIN(Table112345[[#This Row],[b (mm)]],AA27)^4/(12*MAX(Table112345[[#This Row],[b (mm)]],AA27)^4)))*MAX(Table112345[[#This Row],[b (mm)]],AA27)*MIN(Table112345[[#This Row],[b (mm)]],AA27)^3</f>
        <v>7202759729.0792322</v>
      </c>
      <c r="AH27" s="111">
        <f>Table112345[[#This Row],[b (mm)]]*AA27^3/12</f>
        <v>11245622670</v>
      </c>
      <c r="AI27" s="160">
        <v>4064</v>
      </c>
      <c r="AJ27"/>
      <c r="AK27" s="138"/>
      <c r="AL27" s="138"/>
      <c r="AM27" s="1"/>
    </row>
    <row r="28" spans="1:39" s="129" customFormat="1" x14ac:dyDescent="0.25">
      <c r="A28" s="154" t="s">
        <v>96</v>
      </c>
      <c r="B28" s="162">
        <v>6</v>
      </c>
      <c r="C28" s="111">
        <v>27</v>
      </c>
      <c r="D28" s="111">
        <f>Table112345[[#This Row],[a (mm)]]/Table112345[[#This Row],[d (mm)]]</f>
        <v>2.98</v>
      </c>
      <c r="E28" s="160">
        <v>222.40000000000003</v>
      </c>
      <c r="F28" s="137">
        <f>Table112345[[#This Row],[d (mm)]]</f>
        <v>681</v>
      </c>
      <c r="G28" s="111">
        <f t="shared" si="9"/>
        <v>451334.11200000002</v>
      </c>
      <c r="H28" s="111">
        <f t="shared" si="10"/>
        <v>1.5238842119312875E-6</v>
      </c>
      <c r="I28" s="111">
        <f>G28/(Table112345[[#This Row],[b (mm)]]*Z28^2)</f>
        <v>3.1908331527888112E-3</v>
      </c>
      <c r="J28" s="111">
        <f t="shared" si="11"/>
        <v>0.48910684304717628</v>
      </c>
      <c r="K28" s="111">
        <f t="shared" si="12"/>
        <v>9.8334566390931583E-7</v>
      </c>
      <c r="L28" s="111">
        <f>E28/(Table112345[[#This Row],[b (mm)]]*Z28)</f>
        <v>1.0707493801304737E-3</v>
      </c>
      <c r="M28" s="111">
        <f>Table112345[[#This Row],[M (KN.mm)]]/(Table112345[[#This Row],[b (mm)]]*Table112345[[#This Row],[d (mm)]])</f>
        <v>2.1729573770491806</v>
      </c>
      <c r="N28" s="111">
        <f>Table112345[[#This Row],[M (KN.mm)]]/(Table112345[[#This Row],[b (mm)]]*Table112345[[#This Row],[h (mm)]])</f>
        <v>1.9419737188589132</v>
      </c>
      <c r="O28" s="111">
        <f>Table112345[[#This Row],[M (KN.mm)]]/(Table112345[[#This Row],[b (mm)]]*Table112345[[#This Row],[h (mm)]]*Table112345[[#This Row],[L(mm)]])</f>
        <v>4.7784786389244911E-4</v>
      </c>
      <c r="P28" s="111">
        <f>Table112345[[#This Row],[M (KN.mm)]]/(Table112345[[#This Row],[b (mm)]]*Table112345[[#This Row],[d (mm)]]*Table112345[[#This Row],[L(mm)]])</f>
        <v>5.3468439395895184E-4</v>
      </c>
      <c r="Q28" s="111">
        <f>Table112345[[#This Row],[M (KN.mm)]]/(Table112345[[#This Row],[b (mm)]]*Table112345[[#This Row],[h (mm)]]*Table112345[[#This Row],[L(mm)]]*Table112345[[#This Row],[fc (Mpa)]])</f>
        <v>7.3515055983453709E-6</v>
      </c>
      <c r="R28" s="111">
        <f>Table112345[[#This Row],[M (KN.mm)]]/(Table112345[[#This Row],[b (mm)]]*Table112345[[#This Row],[h (mm)]]*Table112345[[#This Row],[L(mm)]]/2)</f>
        <v>9.5569572778489821E-4</v>
      </c>
      <c r="S28" s="111">
        <f>Table112345[[#This Row],[M (KN.mm)]]/(Table112345[[#This Row],[a (mm)]]*Table112345[[#This Row],[b (mm)]]*Table112345[[#This Row],[h (mm)]]*Table112345[[#This Row],[L(mm)]]/2)</f>
        <v>4.709299036084412E-7</v>
      </c>
      <c r="T28" s="111">
        <f>G28/($AL$5*AH28*0.001*Table112345[[#This Row],[pho (%)]])</f>
        <v>1.228938880589748E-6</v>
      </c>
      <c r="U28" s="111">
        <f>Table112345[[#This Row],[M (KN.mm)]]/(Table112345[[#This Row],[b (mm)]]*Table112345[[#This Row],[d (mm)]]*Table112345[[#This Row],[pho (%)]])</f>
        <v>1.7523849814912744</v>
      </c>
      <c r="V28" s="111">
        <f>E28*224.8/(2*SQRT(Table112345[[#This Row],[fc (Mpa)]]*145.037)*Table112345[[#This Row],[b (mm)]]*Table112345[[#This Row],[d (mm)]]*(1/25.4)^2)</f>
        <v>0.79969704965850796</v>
      </c>
      <c r="W28" s="111">
        <f>Table112345[[#This Row],[M (KN.mm)]]/$G$31</f>
        <v>0.75707898658718331</v>
      </c>
      <c r="X28" s="110">
        <f t="shared" si="4"/>
        <v>0.79969704965850796</v>
      </c>
      <c r="Y28" s="111">
        <f>2.98*Table112345[[#This Row],[d (mm)]]</f>
        <v>2029.3799999999999</v>
      </c>
      <c r="Z28" s="160">
        <v>681</v>
      </c>
      <c r="AA28" s="160">
        <v>762</v>
      </c>
      <c r="AB28" s="160">
        <v>305</v>
      </c>
      <c r="AC28" s="160">
        <v>65</v>
      </c>
      <c r="AD28" s="160">
        <v>2581</v>
      </c>
      <c r="AE28" s="160">
        <v>1.24</v>
      </c>
      <c r="AF28" s="160">
        <v>525</v>
      </c>
      <c r="AG28" s="111">
        <f>(1/3-0.21*(MIN(Table112345[[#This Row],[b (mm)]],AA28)/MAX(Table112345[[#This Row],[b (mm)]],AA28))*(MIN(Table112345[[#This Row],[b (mm)]],AA28)^4/(12*MAX(Table112345[[#This Row],[b (mm)]],AA28)^4)))*MAX(Table112345[[#This Row],[b (mm)]],AA28)*MIN(Table112345[[#This Row],[b (mm)]],AA28)^3</f>
        <v>7202759729.0792322</v>
      </c>
      <c r="AH28" s="111">
        <f>Table112345[[#This Row],[b (mm)]]*AA28^3/12</f>
        <v>11245622670</v>
      </c>
      <c r="AI28" s="160">
        <v>4064</v>
      </c>
      <c r="AJ28"/>
      <c r="AK28" s="138"/>
      <c r="AL28" s="138"/>
      <c r="AM28" s="1"/>
    </row>
    <row r="29" spans="1:39" s="129" customFormat="1" x14ac:dyDescent="0.25">
      <c r="A29" s="154" t="s">
        <v>96</v>
      </c>
      <c r="B29" s="162">
        <v>7</v>
      </c>
      <c r="C29" s="111">
        <v>28</v>
      </c>
      <c r="D29" s="111">
        <f>Table112345[[#This Row],[a (mm)]]/Table112345[[#This Row],[d (mm)]]</f>
        <v>2.98</v>
      </c>
      <c r="E29" s="160">
        <v>244.64000000000001</v>
      </c>
      <c r="F29" s="137">
        <f>Table112345[[#This Row],[d (mm)]]</f>
        <v>681</v>
      </c>
      <c r="G29" s="111">
        <f t="shared" si="9"/>
        <v>496467.5232</v>
      </c>
      <c r="H29" s="111">
        <f t="shared" si="10"/>
        <v>1.6762726331244161E-6</v>
      </c>
      <c r="I29" s="111">
        <f>G29/(Table112345[[#This Row],[b (mm)]]*Z29^2)</f>
        <v>3.5099164680676923E-3</v>
      </c>
      <c r="J29" s="111">
        <f t="shared" si="11"/>
        <v>0.5380175273518939</v>
      </c>
      <c r="K29" s="111">
        <f t="shared" si="12"/>
        <v>1.0816802303002474E-6</v>
      </c>
      <c r="L29" s="111">
        <f>E29/(Table112345[[#This Row],[b (mm)]]*Z29)</f>
        <v>1.1778243181435209E-3</v>
      </c>
      <c r="M29" s="111">
        <f>Table112345[[#This Row],[M (KN.mm)]]/(Table112345[[#This Row],[b (mm)]]*Table112345[[#This Row],[d (mm)]])</f>
        <v>2.3902531147540982</v>
      </c>
      <c r="N29" s="111">
        <f>Table112345[[#This Row],[M (KN.mm)]]/(Table112345[[#This Row],[b (mm)]]*Table112345[[#This Row],[h (mm)]])</f>
        <v>2.1361710907448046</v>
      </c>
      <c r="O29" s="111">
        <f>Table112345[[#This Row],[M (KN.mm)]]/(Table112345[[#This Row],[b (mm)]]*Table112345[[#This Row],[h (mm)]]*Table112345[[#This Row],[L(mm)]])</f>
        <v>5.25632650281694E-4</v>
      </c>
      <c r="P29" s="111">
        <f>Table112345[[#This Row],[M (KN.mm)]]/(Table112345[[#This Row],[b (mm)]]*Table112345[[#This Row],[d (mm)]]*Table112345[[#This Row],[L(mm)]])</f>
        <v>5.8815283335484703E-4</v>
      </c>
      <c r="Q29" s="111">
        <f>Table112345[[#This Row],[M (KN.mm)]]/(Table112345[[#This Row],[b (mm)]]*Table112345[[#This Row],[h (mm)]]*Table112345[[#This Row],[L(mm)]]*Table112345[[#This Row],[fc (Mpa)]])</f>
        <v>8.0866561581799077E-6</v>
      </c>
      <c r="R29" s="111">
        <f>Table112345[[#This Row],[M (KN.mm)]]/(Table112345[[#This Row],[b (mm)]]*Table112345[[#This Row],[h (mm)]]*Table112345[[#This Row],[L(mm)]]/2)</f>
        <v>1.051265300563388E-3</v>
      </c>
      <c r="S29" s="111">
        <f>Table112345[[#This Row],[M (KN.mm)]]/(Table112345[[#This Row],[a (mm)]]*Table112345[[#This Row],[b (mm)]]*Table112345[[#This Row],[h (mm)]]*Table112345[[#This Row],[L(mm)]]/2)</f>
        <v>5.1802289396928531E-7</v>
      </c>
      <c r="T29" s="111">
        <f>G29/($AL$5*AH29*0.001*Table112345[[#This Row],[pho (%)]])</f>
        <v>1.3518327686487226E-6</v>
      </c>
      <c r="U29" s="111">
        <f>Table112345[[#This Row],[M (KN.mm)]]/(Table112345[[#This Row],[b (mm)]]*Table112345[[#This Row],[d (mm)]]*Table112345[[#This Row],[pho (%)]])</f>
        <v>1.9276234796404017</v>
      </c>
      <c r="V29" s="111">
        <f>E29*224.8/(2*SQRT(Table112345[[#This Row],[fc (Mpa)]]*145.037)*Table112345[[#This Row],[b (mm)]]*Table112345[[#This Row],[d (mm)]]*(1/25.4)^2)</f>
        <v>0.87966675462435873</v>
      </c>
      <c r="W29" s="111">
        <f>Table112345[[#This Row],[M (KN.mm)]]/$G$31</f>
        <v>0.83278688524590161</v>
      </c>
      <c r="X29" s="110">
        <f t="shared" si="4"/>
        <v>0.87966675462435873</v>
      </c>
      <c r="Y29" s="111">
        <f>2.98*Table112345[[#This Row],[d (mm)]]</f>
        <v>2029.3799999999999</v>
      </c>
      <c r="Z29" s="160">
        <v>681</v>
      </c>
      <c r="AA29" s="160">
        <v>762</v>
      </c>
      <c r="AB29" s="160">
        <v>305</v>
      </c>
      <c r="AC29" s="160">
        <v>65</v>
      </c>
      <c r="AD29" s="160">
        <v>2581</v>
      </c>
      <c r="AE29" s="160">
        <v>1.24</v>
      </c>
      <c r="AF29" s="160">
        <v>525</v>
      </c>
      <c r="AG29" s="111">
        <f>(1/3-0.21*(MIN(Table112345[[#This Row],[b (mm)]],AA29)/MAX(Table112345[[#This Row],[b (mm)]],AA29))*(MIN(Table112345[[#This Row],[b (mm)]],AA29)^4/(12*MAX(Table112345[[#This Row],[b (mm)]],AA29)^4)))*MAX(Table112345[[#This Row],[b (mm)]],AA29)*MIN(Table112345[[#This Row],[b (mm)]],AA29)^3</f>
        <v>7202759729.0792322</v>
      </c>
      <c r="AH29" s="111">
        <f>Table112345[[#This Row],[b (mm)]]*AA29^3/12</f>
        <v>11245622670</v>
      </c>
      <c r="AI29" s="160">
        <v>4064</v>
      </c>
      <c r="AJ29"/>
      <c r="AK29" s="138"/>
      <c r="AL29" s="138"/>
      <c r="AM29" s="1"/>
    </row>
    <row r="30" spans="1:39" s="129" customFormat="1" x14ac:dyDescent="0.25">
      <c r="A30" s="154" t="s">
        <v>96</v>
      </c>
      <c r="B30" s="162">
        <v>8</v>
      </c>
      <c r="C30" s="111">
        <v>29</v>
      </c>
      <c r="D30" s="111">
        <f>Table112345[[#This Row],[a (mm)]]/Table112345[[#This Row],[d (mm)]]</f>
        <v>2.98</v>
      </c>
      <c r="E30" s="160">
        <v>266.88</v>
      </c>
      <c r="F30" s="137">
        <f>Table112345[[#This Row],[d (mm)]]</f>
        <v>681</v>
      </c>
      <c r="G30" s="111">
        <f t="shared" si="9"/>
        <v>541600.93439999991</v>
      </c>
      <c r="H30" s="111">
        <f t="shared" si="10"/>
        <v>1.8286610543175445E-6</v>
      </c>
      <c r="I30" s="111">
        <f>G30/(Table112345[[#This Row],[b (mm)]]*Z30^2)</f>
        <v>3.8289997833465725E-3</v>
      </c>
      <c r="J30" s="111">
        <f t="shared" si="11"/>
        <v>0.58692821165661135</v>
      </c>
      <c r="K30" s="111">
        <f t="shared" si="12"/>
        <v>1.1800147966911789E-6</v>
      </c>
      <c r="L30" s="111">
        <f>E30/(Table112345[[#This Row],[b (mm)]]*Z30)</f>
        <v>1.2848992561565681E-3</v>
      </c>
      <c r="M30" s="111">
        <f>Table112345[[#This Row],[M (KN.mm)]]/(Table112345[[#This Row],[b (mm)]]*Table112345[[#This Row],[d (mm)]])</f>
        <v>2.6075488524590158</v>
      </c>
      <c r="N30" s="111">
        <f>Table112345[[#This Row],[M (KN.mm)]]/(Table112345[[#This Row],[b (mm)]]*Table112345[[#This Row],[h (mm)]])</f>
        <v>2.3303684626306955</v>
      </c>
      <c r="O30" s="111">
        <f>Table112345[[#This Row],[M (KN.mm)]]/(Table112345[[#This Row],[b (mm)]]*Table112345[[#This Row],[h (mm)]]*Table112345[[#This Row],[L(mm)]])</f>
        <v>5.7341743667093878E-4</v>
      </c>
      <c r="P30" s="111">
        <f>Table112345[[#This Row],[M (KN.mm)]]/(Table112345[[#This Row],[b (mm)]]*Table112345[[#This Row],[d (mm)]]*Table112345[[#This Row],[L(mm)]])</f>
        <v>6.4162127275074212E-4</v>
      </c>
      <c r="Q30" s="111">
        <f>Table112345[[#This Row],[M (KN.mm)]]/(Table112345[[#This Row],[b (mm)]]*Table112345[[#This Row],[h (mm)]]*Table112345[[#This Row],[L(mm)]]*Table112345[[#This Row],[fc (Mpa)]])</f>
        <v>8.8218067180144427E-6</v>
      </c>
      <c r="R30" s="111">
        <f>Table112345[[#This Row],[M (KN.mm)]]/(Table112345[[#This Row],[b (mm)]]*Table112345[[#This Row],[h (mm)]]*Table112345[[#This Row],[L(mm)]]/2)</f>
        <v>1.1468348733418776E-3</v>
      </c>
      <c r="S30" s="111">
        <f>Table112345[[#This Row],[M (KN.mm)]]/(Table112345[[#This Row],[a (mm)]]*Table112345[[#This Row],[b (mm)]]*Table112345[[#This Row],[h (mm)]]*Table112345[[#This Row],[L(mm)]]/2)</f>
        <v>5.6511588433012931E-7</v>
      </c>
      <c r="T30" s="111">
        <f>G30/($AL$5*AH30*0.001*Table112345[[#This Row],[pho (%)]])</f>
        <v>1.4747266567076973E-6</v>
      </c>
      <c r="U30" s="111">
        <f>Table112345[[#This Row],[M (KN.mm)]]/(Table112345[[#This Row],[b (mm)]]*Table112345[[#This Row],[d (mm)]]*Table112345[[#This Row],[pho (%)]])</f>
        <v>2.1028619777895288</v>
      </c>
      <c r="V30" s="111">
        <f>E30*224.8/(2*SQRT(Table112345[[#This Row],[fc (Mpa)]]*145.037)*Table112345[[#This Row],[b (mm)]]*Table112345[[#This Row],[d (mm)]]*(1/25.4)^2)</f>
        <v>0.95963645959020938</v>
      </c>
      <c r="W30" s="111">
        <f>Table112345[[#This Row],[M (KN.mm)]]/$G$31</f>
        <v>0.9084947839046198</v>
      </c>
      <c r="X30" s="110">
        <f t="shared" si="4"/>
        <v>0.95963645959020938</v>
      </c>
      <c r="Y30" s="111">
        <f>2.98*Table112345[[#This Row],[d (mm)]]</f>
        <v>2029.3799999999999</v>
      </c>
      <c r="Z30" s="160">
        <v>681</v>
      </c>
      <c r="AA30" s="160">
        <v>762</v>
      </c>
      <c r="AB30" s="160">
        <v>305</v>
      </c>
      <c r="AC30" s="160">
        <v>65</v>
      </c>
      <c r="AD30" s="160">
        <v>2581</v>
      </c>
      <c r="AE30" s="160">
        <v>1.24</v>
      </c>
      <c r="AF30" s="160">
        <v>525</v>
      </c>
      <c r="AG30" s="111">
        <f>(1/3-0.21*(MIN(Table112345[[#This Row],[b (mm)]],AA30)/MAX(Table112345[[#This Row],[b (mm)]],AA30))*(MIN(Table112345[[#This Row],[b (mm)]],AA30)^4/(12*MAX(Table112345[[#This Row],[b (mm)]],AA30)^4)))*MAX(Table112345[[#This Row],[b (mm)]],AA30)*MIN(Table112345[[#This Row],[b (mm)]],AA30)^3</f>
        <v>7202759729.0792322</v>
      </c>
      <c r="AH30" s="111">
        <f>Table112345[[#This Row],[b (mm)]]*AA30^3/12</f>
        <v>11245622670</v>
      </c>
      <c r="AI30" s="160">
        <v>4064</v>
      </c>
      <c r="AJ30"/>
      <c r="AK30" s="138"/>
      <c r="AL30" s="138"/>
      <c r="AM30" s="1"/>
    </row>
    <row r="31" spans="1:39" x14ac:dyDescent="0.25">
      <c r="A31" s="154" t="s">
        <v>96</v>
      </c>
      <c r="B31" s="162" t="s">
        <v>92</v>
      </c>
      <c r="C31" s="111">
        <v>30</v>
      </c>
      <c r="D31" s="111">
        <f>Table112345[[#This Row],[a (mm)]]/Table112345[[#This Row],[d (mm)]]</f>
        <v>2.98</v>
      </c>
      <c r="E31" s="166">
        <v>293.76062992125986</v>
      </c>
      <c r="F31" s="137">
        <f>Table112345[[#This Row],[d (mm)]]</f>
        <v>681</v>
      </c>
      <c r="G31" s="111">
        <f>E31*Y31</f>
        <v>596151.94714960631</v>
      </c>
      <c r="H31" s="111">
        <f t="shared" si="10"/>
        <v>2.012847059460421E-6</v>
      </c>
      <c r="I31" s="111">
        <f>G31/(Table112345[[#This Row],[b (mm)]]*Z31^2)</f>
        <v>4.2146634754356149E-3</v>
      </c>
      <c r="J31" s="111">
        <f t="shared" si="11"/>
        <v>0.64604466867058119</v>
      </c>
      <c r="K31" s="111">
        <f t="shared" si="12"/>
        <v>1.2988679930770688E-6</v>
      </c>
      <c r="L31" s="111">
        <f>E31/(Table112345[[#This Row],[b (mm)]]*Z31)</f>
        <v>1.4143166024951728E-3</v>
      </c>
      <c r="M31" s="111">
        <f>Table112345[[#This Row],[M (KN.mm)]]/(Table112345[[#This Row],[b (mm)]]*Table112345[[#This Row],[d (mm)]])</f>
        <v>2.8701858267716536</v>
      </c>
      <c r="N31" s="111">
        <f>Table112345[[#This Row],[M (KN.mm)]]/(Table112345[[#This Row],[b (mm)]]*Table112345[[#This Row],[h (mm)]])</f>
        <v>2.5650873333746667</v>
      </c>
      <c r="O31" s="111">
        <f>Table112345[[#This Row],[M (KN.mm)]]/(Table112345[[#This Row],[b (mm)]]*Table112345[[#This Row],[h (mm)]]*Table112345[[#This Row],[L(mm)]])</f>
        <v>6.3117306431463257E-4</v>
      </c>
      <c r="P31" s="111">
        <f>Table112345[[#This Row],[M (KN.mm)]]/(Table112345[[#This Row],[b (mm)]]*Table112345[[#This Row],[d (mm)]]*Table112345[[#This Row],[L(mm)]])</f>
        <v>7.0624651249302501E-4</v>
      </c>
      <c r="Q31" s="111">
        <f>Table112345[[#This Row],[M (KN.mm)]]/(Table112345[[#This Row],[b (mm)]]*Table112345[[#This Row],[h (mm)]]*Table112345[[#This Row],[L(mm)]]*Table112345[[#This Row],[fc (Mpa)]])</f>
        <v>9.7103548356097324E-6</v>
      </c>
      <c r="R31" s="111">
        <f>Table112345[[#This Row],[M (KN.mm)]]/(Table112345[[#This Row],[b (mm)]]*Table112345[[#This Row],[h (mm)]]*Table112345[[#This Row],[L(mm)]]/2)</f>
        <v>1.2623461286292651E-3</v>
      </c>
      <c r="S31" s="111">
        <f>Table112345[[#This Row],[M (KN.mm)]]/(Table112345[[#This Row],[a (mm)]]*Table112345[[#This Row],[b (mm)]]*Table112345[[#This Row],[h (mm)]]*Table112345[[#This Row],[L(mm)]]/2)</f>
        <v>6.2203536480563781E-7</v>
      </c>
      <c r="T31" s="111">
        <f>G31/($AL$5*AH31*0.001*Table112345[[#This Row],[pho (%)]])</f>
        <v>1.6232637576293716E-6</v>
      </c>
      <c r="U31" s="111">
        <f>Table112345[[#This Row],[M (KN.mm)]]/(Table112345[[#This Row],[b (mm)]]*Table112345[[#This Row],[d (mm)]]*Table112345[[#This Row],[pho (%)]])</f>
        <v>2.3146659893319788</v>
      </c>
      <c r="V31" s="111">
        <f>E31*224.8/(2*SQRT(Table112345[[#This Row],[fc (Mpa)]]*145.037)*Table112345[[#This Row],[b (mm)]]*Table112345[[#This Row],[d (mm)]]*(1/25.4)^2)</f>
        <v>1.0562927565371234</v>
      </c>
      <c r="W31" s="111">
        <f>Table112345[[#This Row],[M (KN.mm)]]/$G$31</f>
        <v>1</v>
      </c>
      <c r="X31" s="110">
        <f t="shared" si="4"/>
        <v>1.0562927565371234</v>
      </c>
      <c r="Y31" s="111">
        <f>2.98*Table112345[[#This Row],[d (mm)]]</f>
        <v>2029.3799999999999</v>
      </c>
      <c r="Z31" s="160">
        <v>681</v>
      </c>
      <c r="AA31" s="160">
        <v>762</v>
      </c>
      <c r="AB31" s="160">
        <v>305</v>
      </c>
      <c r="AC31" s="160">
        <v>65</v>
      </c>
      <c r="AD31" s="160">
        <v>2581</v>
      </c>
      <c r="AE31" s="160">
        <v>1.24</v>
      </c>
      <c r="AF31" s="160">
        <v>525</v>
      </c>
      <c r="AG31" s="111">
        <f>(1/3-0.21*(MIN(Table112345[[#This Row],[b (mm)]],AA31)/MAX(Table112345[[#This Row],[b (mm)]],AA31))*(MIN(Table112345[[#This Row],[b (mm)]],AA31)^4/(12*MAX(Table112345[[#This Row],[b (mm)]],AA31)^4)))*MAX(Table112345[[#This Row],[b (mm)]],AA31)*MIN(Table112345[[#This Row],[b (mm)]],AA31)^3</f>
        <v>7202759729.0792322</v>
      </c>
      <c r="AH31" s="111">
        <f>Table112345[[#This Row],[b (mm)]]*AA31^3/12</f>
        <v>11245622670</v>
      </c>
      <c r="AI31" s="160">
        <v>4064</v>
      </c>
      <c r="AK31" s="1"/>
    </row>
    <row r="32" spans="1:39" x14ac:dyDescent="0.25">
      <c r="A32" s="154" t="s">
        <v>96</v>
      </c>
      <c r="B32" s="162" t="s">
        <v>93</v>
      </c>
      <c r="C32" s="111">
        <v>31</v>
      </c>
      <c r="D32" s="111">
        <f>Table112345[[#This Row],[a (mm)]]/Table112345[[#This Row],[d (mm)]]</f>
        <v>2.98</v>
      </c>
      <c r="E32" s="166">
        <v>293.76062992125986</v>
      </c>
      <c r="F32" s="137">
        <f>Table112345[[#This Row],[d (mm)]]</f>
        <v>681</v>
      </c>
      <c r="G32" s="111">
        <f t="shared" si="9"/>
        <v>596151.94714960631</v>
      </c>
      <c r="H32" s="111">
        <f t="shared" si="10"/>
        <v>2.012847059460421E-6</v>
      </c>
      <c r="I32" s="111">
        <f>G32/(Table112345[[#This Row],[b (mm)]]*Z32^2)</f>
        <v>4.2146634754356149E-3</v>
      </c>
      <c r="J32" s="111">
        <f t="shared" si="11"/>
        <v>0.64604466867058119</v>
      </c>
      <c r="K32" s="111">
        <f t="shared" si="12"/>
        <v>1.2988679930770688E-6</v>
      </c>
      <c r="L32" s="111">
        <f>E32/(Table112345[[#This Row],[b (mm)]]*Z32)</f>
        <v>1.4143166024951728E-3</v>
      </c>
      <c r="M32" s="111">
        <f>Table112345[[#This Row],[M (KN.mm)]]/(Table112345[[#This Row],[b (mm)]]*Table112345[[#This Row],[d (mm)]])</f>
        <v>2.8701858267716536</v>
      </c>
      <c r="N32" s="111">
        <f>Table112345[[#This Row],[M (KN.mm)]]/(Table112345[[#This Row],[b (mm)]]*Table112345[[#This Row],[h (mm)]])</f>
        <v>2.5650873333746667</v>
      </c>
      <c r="O32" s="111">
        <f>Table112345[[#This Row],[M (KN.mm)]]/(Table112345[[#This Row],[b (mm)]]*Table112345[[#This Row],[h (mm)]]*Table112345[[#This Row],[L(mm)]])</f>
        <v>6.3117306431463257E-4</v>
      </c>
      <c r="P32" s="111">
        <f>Table112345[[#This Row],[M (KN.mm)]]/(Table112345[[#This Row],[b (mm)]]*Table112345[[#This Row],[d (mm)]]*Table112345[[#This Row],[L(mm)]])</f>
        <v>7.0624651249302501E-4</v>
      </c>
      <c r="Q32" s="111">
        <f>Table112345[[#This Row],[M (KN.mm)]]/(Table112345[[#This Row],[b (mm)]]*Table112345[[#This Row],[h (mm)]]*Table112345[[#This Row],[L(mm)]]*Table112345[[#This Row],[fc (Mpa)]])</f>
        <v>9.7103548356097324E-6</v>
      </c>
      <c r="R32" s="111">
        <f>Table112345[[#This Row],[M (KN.mm)]]/(Table112345[[#This Row],[b (mm)]]*Table112345[[#This Row],[h (mm)]]*Table112345[[#This Row],[L(mm)]]/2)</f>
        <v>1.2623461286292651E-3</v>
      </c>
      <c r="S32" s="111">
        <f>Table112345[[#This Row],[M (KN.mm)]]/(Table112345[[#This Row],[a (mm)]]*Table112345[[#This Row],[b (mm)]]*Table112345[[#This Row],[h (mm)]]*Table112345[[#This Row],[L(mm)]]/2)</f>
        <v>6.2203536480563781E-7</v>
      </c>
      <c r="T32" s="111">
        <f>G32/($AL$5*AH32*0.001*Table112345[[#This Row],[pho (%)]])</f>
        <v>1.6232637576293716E-6</v>
      </c>
      <c r="U32" s="111">
        <f>Table112345[[#This Row],[M (KN.mm)]]/(Table112345[[#This Row],[b (mm)]]*Table112345[[#This Row],[d (mm)]]*Table112345[[#This Row],[pho (%)]])</f>
        <v>2.3146659893319788</v>
      </c>
      <c r="V32" s="111">
        <f>E32*224.8/(2*SQRT(Table112345[[#This Row],[fc (Mpa)]]*145.037)*Table112345[[#This Row],[b (mm)]]*Table112345[[#This Row],[d (mm)]]*(1/25.4)^2)</f>
        <v>1.0562927565371234</v>
      </c>
      <c r="W32" s="111">
        <f>Table112345[[#This Row],[M (KN.mm)]]/$G$31</f>
        <v>1</v>
      </c>
      <c r="X32" s="110">
        <f t="shared" si="4"/>
        <v>1.0562927565371234</v>
      </c>
      <c r="Y32" s="111">
        <f>2.98*Table112345[[#This Row],[d (mm)]]</f>
        <v>2029.3799999999999</v>
      </c>
      <c r="Z32" s="160">
        <v>681</v>
      </c>
      <c r="AA32" s="160">
        <v>762</v>
      </c>
      <c r="AB32" s="160">
        <v>305</v>
      </c>
      <c r="AC32" s="160">
        <v>65</v>
      </c>
      <c r="AD32" s="160">
        <v>2581</v>
      </c>
      <c r="AE32" s="160">
        <v>1.24</v>
      </c>
      <c r="AF32" s="160">
        <v>525</v>
      </c>
      <c r="AG32" s="111">
        <f>(1/3-0.21*(MIN(Table112345[[#This Row],[b (mm)]],AA32)/MAX(Table112345[[#This Row],[b (mm)]],AA32))*(MIN(Table112345[[#This Row],[b (mm)]],AA32)^4/(12*MAX(Table112345[[#This Row],[b (mm)]],AA32)^4)))*MAX(Table112345[[#This Row],[b (mm)]],AA32)*MIN(Table112345[[#This Row],[b (mm)]],AA32)^3</f>
        <v>7202759729.0792322</v>
      </c>
      <c r="AH32" s="111">
        <f>Table112345[[#This Row],[b (mm)]]*AA32^3/12</f>
        <v>11245622670</v>
      </c>
      <c r="AI32" s="160">
        <v>4064</v>
      </c>
      <c r="AK32" s="1"/>
    </row>
    <row r="33" spans="1:44" x14ac:dyDescent="0.25">
      <c r="A33" s="155" t="s">
        <v>97</v>
      </c>
      <c r="B33" s="163">
        <v>1</v>
      </c>
      <c r="C33" s="111">
        <v>32</v>
      </c>
      <c r="D33" s="111">
        <f>Table112345[[#This Row],[a (mm)]]/Table112345[[#This Row],[d (mm)]]</f>
        <v>3</v>
      </c>
      <c r="E33" s="160">
        <v>112.0896</v>
      </c>
      <c r="F33" s="137">
        <f>Table112345[[#This Row],[d (mm)]]</f>
        <v>822</v>
      </c>
      <c r="G33" s="111">
        <f t="shared" ref="G33:G53" si="13">E33*Y33</f>
        <v>276412.95360000001</v>
      </c>
      <c r="H33" s="111">
        <f t="shared" ref="H33:H53" si="14">G33/($AL$5*AH33*0.001)</f>
        <v>5.3903497119972196E-7</v>
      </c>
      <c r="I33" s="111">
        <f>G33/(Table112345[[#This Row],[b (mm)]]*Z33^2)</f>
        <v>1.3368827823100043E-3</v>
      </c>
      <c r="J33" s="111">
        <f t="shared" ref="J33:J53" si="15">G33/(AD33*AF33*Z33*0.001)</f>
        <v>0.19545682026243516</v>
      </c>
      <c r="K33" s="111">
        <f t="shared" ref="K33:K53" si="16">E33/($AL$4*AG33*0.001)</f>
        <v>4.0901794431929235E-7</v>
      </c>
      <c r="L33" s="111">
        <f>E33/(Table112345[[#This Row],[b (mm)]]*Z33)</f>
        <v>4.4562759410333476E-4</v>
      </c>
      <c r="M33" s="111">
        <f>Table112345[[#This Row],[M (KN.mm)]]/(Table112345[[#This Row],[b (mm)]]*Table112345[[#This Row],[d (mm)]])</f>
        <v>1.0989176470588236</v>
      </c>
      <c r="N33" s="111">
        <f>Table112345[[#This Row],[M (KN.mm)]]/(Table112345[[#This Row],[b (mm)]]*Table112345[[#This Row],[h (mm)]])</f>
        <v>0.98830449221264005</v>
      </c>
      <c r="O33" s="111">
        <f>Table112345[[#This Row],[M (KN.mm)]]/(Table112345[[#This Row],[b (mm)]]*Table112345[[#This Row],[h (mm)]]*Table112345[[#This Row],[L(mm)]])</f>
        <v>2.00548801179513E-4</v>
      </c>
      <c r="P33" s="111">
        <f>Table112345[[#This Row],[M (KN.mm)]]/(Table112345[[#This Row],[b (mm)]]*Table112345[[#This Row],[d (mm)]]*Table112345[[#This Row],[L(mm)]])</f>
        <v>2.2299465240641712E-4</v>
      </c>
      <c r="Q33" s="111">
        <f>Table112345[[#This Row],[M (KN.mm)]]/(Table112345[[#This Row],[b (mm)]]*Table112345[[#This Row],[h (mm)]]*Table112345[[#This Row],[L(mm)]]*Table112345[[#This Row],[fc (Mpa)]])</f>
        <v>2.6811337056084625E-6</v>
      </c>
      <c r="R33" s="111">
        <f>Table112345[[#This Row],[M (KN.mm)]]/(Table112345[[#This Row],[b (mm)]]*Table112345[[#This Row],[h (mm)]]*Table112345[[#This Row],[L(mm)]]/2)</f>
        <v>4.0109760235902599E-4</v>
      </c>
      <c r="S33" s="111">
        <f>Table112345[[#This Row],[M (KN.mm)]]/(Table112345[[#This Row],[a (mm)]]*Table112345[[#This Row],[b (mm)]]*Table112345[[#This Row],[h (mm)]]*Table112345[[#This Row],[L(mm)]]/2)</f>
        <v>1.6265109584713138E-7</v>
      </c>
      <c r="T33" s="111">
        <f>G33/($AL$5*AH33*0.001*Table112345[[#This Row],[pho (%)]])</f>
        <v>4.1464228553824766E-7</v>
      </c>
      <c r="U33" s="111">
        <f>Table112345[[#This Row],[M (KN.mm)]]/(Table112345[[#This Row],[b (mm)]]*Table112345[[#This Row],[d (mm)]]*Table112345[[#This Row],[pho (%)]])</f>
        <v>0.84532126696832577</v>
      </c>
      <c r="V33" s="111">
        <f>E33*224.8/(2*SQRT(Table112345[[#This Row],[fc (Mpa)]]*145.037)*Table112345[[#This Row],[b (mm)]]*Table112345[[#This Row],[d (mm)]]*(1/25.4)^2)</f>
        <v>0.31025273369651202</v>
      </c>
      <c r="W33" s="111">
        <f>Table112345[[#This Row],[M (KN.mm)]]/$G$41</f>
        <v>0.34862745098039211</v>
      </c>
      <c r="X33" s="110">
        <f t="shared" si="4"/>
        <v>0.31025273369651202</v>
      </c>
      <c r="Y33" s="111">
        <f>3*Table112345[[#This Row],[d (mm)]]</f>
        <v>2466</v>
      </c>
      <c r="Z33" s="160">
        <v>822</v>
      </c>
      <c r="AA33" s="160">
        <v>914</v>
      </c>
      <c r="AB33" s="160">
        <v>306</v>
      </c>
      <c r="AC33" s="160">
        <v>74.8</v>
      </c>
      <c r="AD33" s="160">
        <v>3277</v>
      </c>
      <c r="AE33" s="160">
        <v>1.3</v>
      </c>
      <c r="AF33" s="160">
        <v>525</v>
      </c>
      <c r="AG33" s="111">
        <f>(1/3-0.21*(MIN(Table112345[[#This Row],[b (mm)]],AA33)/MAX(Table112345[[#This Row],[b (mm)]],AA33))*(MIN(Table112345[[#This Row],[b (mm)]],AA33)^4/(12*MAX(Table112345[[#This Row],[b (mm)]],AA33)^4)))*MAX(Table112345[[#This Row],[b (mm)]],AA33)*MIN(Table112345[[#This Row],[b (mm)]],AA33)^3</f>
        <v>8727569373.5573311</v>
      </c>
      <c r="AH33" s="111">
        <f>Table112345[[#This Row],[b (mm)]]*AA33^3/12</f>
        <v>19470574572</v>
      </c>
      <c r="AI33" s="160">
        <v>4928</v>
      </c>
      <c r="AK33" s="1"/>
    </row>
    <row r="34" spans="1:44" x14ac:dyDescent="0.25">
      <c r="A34" s="155" t="s">
        <v>97</v>
      </c>
      <c r="B34" s="163">
        <v>2</v>
      </c>
      <c r="C34" s="111">
        <v>33</v>
      </c>
      <c r="D34" s="111">
        <f>Table112345[[#This Row],[a (mm)]]/Table112345[[#This Row],[d (mm)]]</f>
        <v>3</v>
      </c>
      <c r="E34" s="160">
        <v>133.44</v>
      </c>
      <c r="F34" s="137">
        <f>Table112345[[#This Row],[d (mm)]]</f>
        <v>822</v>
      </c>
      <c r="G34" s="111">
        <f t="shared" si="13"/>
        <v>329063.03999999998</v>
      </c>
      <c r="H34" s="111">
        <f t="shared" si="14"/>
        <v>6.4170829904728801E-7</v>
      </c>
      <c r="I34" s="111">
        <f>G34/(Table112345[[#This Row],[b (mm)]]*Z34^2)</f>
        <v>1.591527121797624E-3</v>
      </c>
      <c r="J34" s="111">
        <f t="shared" si="15"/>
        <v>0.23268669078861326</v>
      </c>
      <c r="K34" s="111">
        <f t="shared" si="16"/>
        <v>4.8692612418963369E-7</v>
      </c>
      <c r="L34" s="111">
        <f>E34/(Table112345[[#This Row],[b (mm)]]*Z34)</f>
        <v>5.30509040599208E-4</v>
      </c>
      <c r="M34" s="111">
        <f>Table112345[[#This Row],[M (KN.mm)]]/(Table112345[[#This Row],[b (mm)]]*Table112345[[#This Row],[d (mm)]])</f>
        <v>1.3082352941176469</v>
      </c>
      <c r="N34" s="111">
        <f>Table112345[[#This Row],[M (KN.mm)]]/(Table112345[[#This Row],[b (mm)]]*Table112345[[#This Row],[h (mm)]])</f>
        <v>1.1765529669198094</v>
      </c>
      <c r="O34" s="111">
        <f>Table112345[[#This Row],[M (KN.mm)]]/(Table112345[[#This Row],[b (mm)]]*Table112345[[#This Row],[h (mm)]]*Table112345[[#This Row],[L(mm)]])</f>
        <v>2.3874857283275353E-4</v>
      </c>
      <c r="P34" s="111">
        <f>Table112345[[#This Row],[M (KN.mm)]]/(Table112345[[#This Row],[b (mm)]]*Table112345[[#This Row],[d (mm)]]*Table112345[[#This Row],[L(mm)]])</f>
        <v>2.6546982429335368E-4</v>
      </c>
      <c r="Q34" s="111">
        <f>Table112345[[#This Row],[M (KN.mm)]]/(Table112345[[#This Row],[b (mm)]]*Table112345[[#This Row],[h (mm)]]*Table112345[[#This Row],[L(mm)]]*Table112345[[#This Row],[fc (Mpa)]])</f>
        <v>3.1918258400100744E-6</v>
      </c>
      <c r="R34" s="111">
        <f>Table112345[[#This Row],[M (KN.mm)]]/(Table112345[[#This Row],[b (mm)]]*Table112345[[#This Row],[h (mm)]]*Table112345[[#This Row],[L(mm)]]/2)</f>
        <v>4.7749714566550707E-4</v>
      </c>
      <c r="S34" s="111">
        <f>Table112345[[#This Row],[M (KN.mm)]]/(Table112345[[#This Row],[a (mm)]]*Table112345[[#This Row],[b (mm)]]*Table112345[[#This Row],[h (mm)]]*Table112345[[#This Row],[L(mm)]]/2)</f>
        <v>1.9363225696087068E-7</v>
      </c>
      <c r="T34" s="111">
        <f>G34/($AL$5*AH34*0.001*Table112345[[#This Row],[pho (%)]])</f>
        <v>4.9362176849791382E-7</v>
      </c>
      <c r="U34" s="111">
        <f>Table112345[[#This Row],[M (KN.mm)]]/(Table112345[[#This Row],[b (mm)]]*Table112345[[#This Row],[d (mm)]]*Table112345[[#This Row],[pho (%)]])</f>
        <v>1.006334841628959</v>
      </c>
      <c r="V34" s="111">
        <f>E34*224.8/(2*SQRT(Table112345[[#This Row],[fc (Mpa)]]*145.037)*Table112345[[#This Row],[b (mm)]]*Table112345[[#This Row],[d (mm)]]*(1/25.4)^2)</f>
        <v>0.36934849249584761</v>
      </c>
      <c r="W34" s="111">
        <f>Table112345[[#This Row],[M (KN.mm)]]/$G$41</f>
        <v>0.415032679738562</v>
      </c>
      <c r="X34" s="110">
        <f t="shared" ref="X34:X65" si="17">V34</f>
        <v>0.36934849249584761</v>
      </c>
      <c r="Y34" s="111">
        <f>3*Table112345[[#This Row],[d (mm)]]</f>
        <v>2466</v>
      </c>
      <c r="Z34" s="160">
        <v>822</v>
      </c>
      <c r="AA34" s="160">
        <v>914</v>
      </c>
      <c r="AB34" s="160">
        <v>306</v>
      </c>
      <c r="AC34" s="160">
        <v>74.8</v>
      </c>
      <c r="AD34" s="160">
        <v>3277</v>
      </c>
      <c r="AE34" s="160">
        <v>1.3</v>
      </c>
      <c r="AF34" s="160">
        <v>525</v>
      </c>
      <c r="AG34" s="111">
        <f>(1/3-0.21*(MIN(Table112345[[#This Row],[b (mm)]],AA34)/MAX(Table112345[[#This Row],[b (mm)]],AA34))*(MIN(Table112345[[#This Row],[b (mm)]],AA34)^4/(12*MAX(Table112345[[#This Row],[b (mm)]],AA34)^4)))*MAX(Table112345[[#This Row],[b (mm)]],AA34)*MIN(Table112345[[#This Row],[b (mm)]],AA34)^3</f>
        <v>8727569373.5573311</v>
      </c>
      <c r="AH34" s="111">
        <f>Table112345[[#This Row],[b (mm)]]*AA34^3/12</f>
        <v>19470574572</v>
      </c>
      <c r="AI34" s="160">
        <v>4928</v>
      </c>
      <c r="AK34" s="1"/>
    </row>
    <row r="35" spans="1:44" x14ac:dyDescent="0.25">
      <c r="A35" s="155" t="s">
        <v>97</v>
      </c>
      <c r="B35" s="163">
        <v>3</v>
      </c>
      <c r="C35" s="111">
        <v>34</v>
      </c>
      <c r="D35" s="111">
        <f>Table112345[[#This Row],[a (mm)]]/Table112345[[#This Row],[d (mm)]]</f>
        <v>3</v>
      </c>
      <c r="E35" s="160">
        <v>155.68</v>
      </c>
      <c r="F35" s="137">
        <f>Table112345[[#This Row],[d (mm)]]</f>
        <v>822</v>
      </c>
      <c r="G35" s="111">
        <f t="shared" si="13"/>
        <v>383906.88</v>
      </c>
      <c r="H35" s="111">
        <f t="shared" si="14"/>
        <v>7.4865968222183612E-7</v>
      </c>
      <c r="I35" s="111">
        <f>G35/(Table112345[[#This Row],[b (mm)]]*Z35^2)</f>
        <v>1.8567816420972283E-3</v>
      </c>
      <c r="J35" s="111">
        <f t="shared" si="15"/>
        <v>0.27146780592004882</v>
      </c>
      <c r="K35" s="111">
        <f t="shared" si="16"/>
        <v>5.6808047822123932E-7</v>
      </c>
      <c r="L35" s="111">
        <f>E35/(Table112345[[#This Row],[b (mm)]]*Z35)</f>
        <v>6.1892721403240944E-4</v>
      </c>
      <c r="M35" s="111">
        <f>Table112345[[#This Row],[M (KN.mm)]]/(Table112345[[#This Row],[b (mm)]]*Table112345[[#This Row],[d (mm)]])</f>
        <v>1.5262745098039217</v>
      </c>
      <c r="N35" s="111">
        <f>Table112345[[#This Row],[M (KN.mm)]]/(Table112345[[#This Row],[b (mm)]]*Table112345[[#This Row],[h (mm)]])</f>
        <v>1.3726451280731111</v>
      </c>
      <c r="O35" s="111">
        <f>Table112345[[#This Row],[M (KN.mm)]]/(Table112345[[#This Row],[b (mm)]]*Table112345[[#This Row],[h (mm)]]*Table112345[[#This Row],[L(mm)]])</f>
        <v>2.7854000163821249E-4</v>
      </c>
      <c r="P35" s="111">
        <f>Table112345[[#This Row],[M (KN.mm)]]/(Table112345[[#This Row],[b (mm)]]*Table112345[[#This Row],[d (mm)]]*Table112345[[#This Row],[L(mm)]])</f>
        <v>3.0971479500891265E-4</v>
      </c>
      <c r="Q35" s="111">
        <f>Table112345[[#This Row],[M (KN.mm)]]/(Table112345[[#This Row],[b (mm)]]*Table112345[[#This Row],[h (mm)]]*Table112345[[#This Row],[L(mm)]]*Table112345[[#This Row],[fc (Mpa)]])</f>
        <v>3.7237968133450872E-6</v>
      </c>
      <c r="R35" s="111">
        <f>Table112345[[#This Row],[M (KN.mm)]]/(Table112345[[#This Row],[b (mm)]]*Table112345[[#This Row],[h (mm)]]*Table112345[[#This Row],[L(mm)]]/2)</f>
        <v>5.5708000327642497E-4</v>
      </c>
      <c r="S35" s="111">
        <f>Table112345[[#This Row],[M (KN.mm)]]/(Table112345[[#This Row],[a (mm)]]*Table112345[[#This Row],[b (mm)]]*Table112345[[#This Row],[h (mm)]]*Table112345[[#This Row],[L(mm)]]/2)</f>
        <v>2.2590429978768247E-7</v>
      </c>
      <c r="T35" s="111">
        <f>G35/($AL$5*AH35*0.001*Table112345[[#This Row],[pho (%)]])</f>
        <v>5.7589206324756621E-7</v>
      </c>
      <c r="U35" s="111">
        <f>Table112345[[#This Row],[M (KN.mm)]]/(Table112345[[#This Row],[b (mm)]]*Table112345[[#This Row],[d (mm)]]*Table112345[[#This Row],[pho (%)]])</f>
        <v>1.1740573152337856</v>
      </c>
      <c r="V35" s="111">
        <f>E35*224.8/(2*SQRT(Table112345[[#This Row],[fc (Mpa)]]*145.037)*Table112345[[#This Row],[b (mm)]]*Table112345[[#This Row],[d (mm)]]*(1/25.4)^2)</f>
        <v>0.43090657457848891</v>
      </c>
      <c r="W35" s="111">
        <f>Table112345[[#This Row],[M (KN.mm)]]/$G$41</f>
        <v>0.48420479302832237</v>
      </c>
      <c r="X35" s="110">
        <f t="shared" si="17"/>
        <v>0.43090657457848891</v>
      </c>
      <c r="Y35" s="111">
        <f>3*Table112345[[#This Row],[d (mm)]]</f>
        <v>2466</v>
      </c>
      <c r="Z35" s="160">
        <v>822</v>
      </c>
      <c r="AA35" s="160">
        <v>914</v>
      </c>
      <c r="AB35" s="160">
        <v>306</v>
      </c>
      <c r="AC35" s="160">
        <v>74.8</v>
      </c>
      <c r="AD35" s="160">
        <v>3277</v>
      </c>
      <c r="AE35" s="160">
        <v>1.3</v>
      </c>
      <c r="AF35" s="160">
        <v>525</v>
      </c>
      <c r="AG35" s="111">
        <f>(1/3-0.21*(MIN(Table112345[[#This Row],[b (mm)]],AA35)/MAX(Table112345[[#This Row],[b (mm)]],AA35))*(MIN(Table112345[[#This Row],[b (mm)]],AA35)^4/(12*MAX(Table112345[[#This Row],[b (mm)]],AA35)^4)))*MAX(Table112345[[#This Row],[b (mm)]],AA35)*MIN(Table112345[[#This Row],[b (mm)]],AA35)^3</f>
        <v>8727569373.5573311</v>
      </c>
      <c r="AH35" s="111">
        <f>Table112345[[#This Row],[b (mm)]]*AA35^3/12</f>
        <v>19470574572</v>
      </c>
      <c r="AI35" s="160">
        <v>4928</v>
      </c>
      <c r="AK35" s="1"/>
    </row>
    <row r="36" spans="1:44" x14ac:dyDescent="0.25">
      <c r="A36" s="155" t="s">
        <v>97</v>
      </c>
      <c r="B36" s="163">
        <v>4</v>
      </c>
      <c r="C36" s="111">
        <v>35</v>
      </c>
      <c r="D36" s="111">
        <f>Table112345[[#This Row],[a (mm)]]/Table112345[[#This Row],[d (mm)]]</f>
        <v>3</v>
      </c>
      <c r="E36" s="160">
        <v>177.92000000000002</v>
      </c>
      <c r="F36" s="137">
        <f>Table112345[[#This Row],[d (mm)]]</f>
        <v>822</v>
      </c>
      <c r="G36" s="111">
        <f t="shared" si="13"/>
        <v>438750.72000000003</v>
      </c>
      <c r="H36" s="111">
        <f t="shared" si="14"/>
        <v>8.5561106539638423E-7</v>
      </c>
      <c r="I36" s="111">
        <f>G36/(Table112345[[#This Row],[b (mm)]]*Z36^2)</f>
        <v>2.1220361623968324E-3</v>
      </c>
      <c r="J36" s="111">
        <f t="shared" si="15"/>
        <v>0.31024892105148438</v>
      </c>
      <c r="K36" s="111">
        <f t="shared" si="16"/>
        <v>6.4923483225284505E-7</v>
      </c>
      <c r="L36" s="111">
        <f>E36/(Table112345[[#This Row],[b (mm)]]*Z36)</f>
        <v>7.0734538746561077E-4</v>
      </c>
      <c r="M36" s="111">
        <f>Table112345[[#This Row],[M (KN.mm)]]/(Table112345[[#This Row],[b (mm)]]*Table112345[[#This Row],[d (mm)]])</f>
        <v>1.7443137254901961</v>
      </c>
      <c r="N36" s="111">
        <f>Table112345[[#This Row],[M (KN.mm)]]/(Table112345[[#This Row],[b (mm)]]*Table112345[[#This Row],[h (mm)]])</f>
        <v>1.5687372892264129</v>
      </c>
      <c r="O36" s="111">
        <f>Table112345[[#This Row],[M (KN.mm)]]/(Table112345[[#This Row],[b (mm)]]*Table112345[[#This Row],[h (mm)]]*Table112345[[#This Row],[L(mm)]])</f>
        <v>3.1833143044367141E-4</v>
      </c>
      <c r="P36" s="111">
        <f>Table112345[[#This Row],[M (KN.mm)]]/(Table112345[[#This Row],[b (mm)]]*Table112345[[#This Row],[d (mm)]]*Table112345[[#This Row],[L(mm)]])</f>
        <v>3.5395976572447161E-4</v>
      </c>
      <c r="Q36" s="111">
        <f>Table112345[[#This Row],[M (KN.mm)]]/(Table112345[[#This Row],[b (mm)]]*Table112345[[#This Row],[h (mm)]]*Table112345[[#This Row],[L(mm)]]*Table112345[[#This Row],[fc (Mpa)]])</f>
        <v>4.2557677866800995E-6</v>
      </c>
      <c r="R36" s="111">
        <f>Table112345[[#This Row],[M (KN.mm)]]/(Table112345[[#This Row],[b (mm)]]*Table112345[[#This Row],[h (mm)]]*Table112345[[#This Row],[L(mm)]]/2)</f>
        <v>6.3666286088734283E-4</v>
      </c>
      <c r="S36" s="111">
        <f>Table112345[[#This Row],[M (KN.mm)]]/(Table112345[[#This Row],[a (mm)]]*Table112345[[#This Row],[b (mm)]]*Table112345[[#This Row],[h (mm)]]*Table112345[[#This Row],[L(mm)]]/2)</f>
        <v>2.5817634261449426E-7</v>
      </c>
      <c r="T36" s="111">
        <f>G36/($AL$5*AH36*0.001*Table112345[[#This Row],[pho (%)]])</f>
        <v>6.5816235799721849E-7</v>
      </c>
      <c r="U36" s="111">
        <f>Table112345[[#This Row],[M (KN.mm)]]/(Table112345[[#This Row],[b (mm)]]*Table112345[[#This Row],[d (mm)]]*Table112345[[#This Row],[pho (%)]])</f>
        <v>1.3417797888386123</v>
      </c>
      <c r="V36" s="111">
        <f>E36*224.8/(2*SQRT(Table112345[[#This Row],[fc (Mpa)]]*145.037)*Table112345[[#This Row],[b (mm)]]*Table112345[[#This Row],[d (mm)]]*(1/25.4)^2)</f>
        <v>0.49246465666113021</v>
      </c>
      <c r="W36" s="111">
        <f>Table112345[[#This Row],[M (KN.mm)]]/$G$41</f>
        <v>0.55337690631808278</v>
      </c>
      <c r="X36" s="110">
        <f t="shared" si="17"/>
        <v>0.49246465666113021</v>
      </c>
      <c r="Y36" s="111">
        <f>3*Table112345[[#This Row],[d (mm)]]</f>
        <v>2466</v>
      </c>
      <c r="Z36" s="160">
        <v>822</v>
      </c>
      <c r="AA36" s="160">
        <v>914</v>
      </c>
      <c r="AB36" s="160">
        <v>306</v>
      </c>
      <c r="AC36" s="160">
        <v>74.8</v>
      </c>
      <c r="AD36" s="160">
        <v>3277</v>
      </c>
      <c r="AE36" s="160">
        <v>1.3</v>
      </c>
      <c r="AF36" s="160">
        <v>525</v>
      </c>
      <c r="AG36" s="111">
        <f>(1/3-0.21*(MIN(Table112345[[#This Row],[b (mm)]],AA36)/MAX(Table112345[[#This Row],[b (mm)]],AA36))*(MIN(Table112345[[#This Row],[b (mm)]],AA36)^4/(12*MAX(Table112345[[#This Row],[b (mm)]],AA36)^4)))*MAX(Table112345[[#This Row],[b (mm)]],AA36)*MIN(Table112345[[#This Row],[b (mm)]],AA36)^3</f>
        <v>8727569373.5573311</v>
      </c>
      <c r="AH36" s="111">
        <f>Table112345[[#This Row],[b (mm)]]*AA36^3/12</f>
        <v>19470574572</v>
      </c>
      <c r="AI36" s="160">
        <v>4928</v>
      </c>
      <c r="AK36" s="1"/>
    </row>
    <row r="37" spans="1:44" x14ac:dyDescent="0.25">
      <c r="A37" s="155" t="s">
        <v>97</v>
      </c>
      <c r="B37" s="163">
        <v>5</v>
      </c>
      <c r="C37" s="111">
        <v>36</v>
      </c>
      <c r="D37" s="111">
        <f>Table112345[[#This Row],[a (mm)]]/Table112345[[#This Row],[d (mm)]]</f>
        <v>3</v>
      </c>
      <c r="E37" s="160">
        <v>200.16000000000003</v>
      </c>
      <c r="F37" s="137">
        <f>Table112345[[#This Row],[d (mm)]]</f>
        <v>822</v>
      </c>
      <c r="G37" s="111">
        <f t="shared" si="13"/>
        <v>493594.56000000006</v>
      </c>
      <c r="H37" s="111">
        <f t="shared" si="14"/>
        <v>9.6256244857093223E-7</v>
      </c>
      <c r="I37" s="111">
        <f>G37/(Table112345[[#This Row],[b (mm)]]*Z37^2)</f>
        <v>2.3872906826964365E-3</v>
      </c>
      <c r="J37" s="111">
        <f t="shared" si="15"/>
        <v>0.34903003618291994</v>
      </c>
      <c r="K37" s="111">
        <f t="shared" si="16"/>
        <v>7.3038918628445069E-7</v>
      </c>
      <c r="L37" s="111">
        <f>E37/(Table112345[[#This Row],[b (mm)]]*Z37)</f>
        <v>7.9576356089881221E-4</v>
      </c>
      <c r="M37" s="111">
        <f>Table112345[[#This Row],[M (KN.mm)]]/(Table112345[[#This Row],[b (mm)]]*Table112345[[#This Row],[d (mm)]])</f>
        <v>1.9623529411764709</v>
      </c>
      <c r="N37" s="111">
        <f>Table112345[[#This Row],[M (KN.mm)]]/(Table112345[[#This Row],[b (mm)]]*Table112345[[#This Row],[h (mm)]])</f>
        <v>1.7648294503797144</v>
      </c>
      <c r="O37" s="111">
        <f>Table112345[[#This Row],[M (KN.mm)]]/(Table112345[[#This Row],[b (mm)]]*Table112345[[#This Row],[h (mm)]]*Table112345[[#This Row],[L(mm)]])</f>
        <v>3.5812285924913034E-4</v>
      </c>
      <c r="P37" s="111">
        <f>Table112345[[#This Row],[M (KN.mm)]]/(Table112345[[#This Row],[b (mm)]]*Table112345[[#This Row],[d (mm)]]*Table112345[[#This Row],[L(mm)]])</f>
        <v>3.9820473644003058E-4</v>
      </c>
      <c r="Q37" s="111">
        <f>Table112345[[#This Row],[M (KN.mm)]]/(Table112345[[#This Row],[b (mm)]]*Table112345[[#This Row],[h (mm)]]*Table112345[[#This Row],[L(mm)]]*Table112345[[#This Row],[fc (Mpa)]])</f>
        <v>4.7877387600151127E-6</v>
      </c>
      <c r="R37" s="111">
        <f>Table112345[[#This Row],[M (KN.mm)]]/(Table112345[[#This Row],[b (mm)]]*Table112345[[#This Row],[h (mm)]]*Table112345[[#This Row],[L(mm)]]/2)</f>
        <v>7.1624571849826068E-4</v>
      </c>
      <c r="S37" s="111">
        <f>Table112345[[#This Row],[M (KN.mm)]]/(Table112345[[#This Row],[a (mm)]]*Table112345[[#This Row],[b (mm)]]*Table112345[[#This Row],[h (mm)]]*Table112345[[#This Row],[L(mm)]]/2)</f>
        <v>2.9044838544130605E-7</v>
      </c>
      <c r="T37" s="111">
        <f>G37/($AL$5*AH37*0.001*Table112345[[#This Row],[pho (%)]])</f>
        <v>7.4043265274687088E-7</v>
      </c>
      <c r="U37" s="111">
        <f>Table112345[[#This Row],[M (KN.mm)]]/(Table112345[[#This Row],[b (mm)]]*Table112345[[#This Row],[d (mm)]]*Table112345[[#This Row],[pho (%)]])</f>
        <v>1.5095022624434389</v>
      </c>
      <c r="V37" s="111">
        <f>E37*224.8/(2*SQRT(Table112345[[#This Row],[fc (Mpa)]]*145.037)*Table112345[[#This Row],[b (mm)]]*Table112345[[#This Row],[d (mm)]]*(1/25.4)^2)</f>
        <v>0.5540227387437715</v>
      </c>
      <c r="W37" s="111">
        <f>Table112345[[#This Row],[M (KN.mm)]]/$G$41</f>
        <v>0.62254901960784315</v>
      </c>
      <c r="X37" s="110">
        <f t="shared" si="17"/>
        <v>0.5540227387437715</v>
      </c>
      <c r="Y37" s="111">
        <f>3*Table112345[[#This Row],[d (mm)]]</f>
        <v>2466</v>
      </c>
      <c r="Z37" s="160">
        <v>822</v>
      </c>
      <c r="AA37" s="160">
        <v>914</v>
      </c>
      <c r="AB37" s="160">
        <v>306</v>
      </c>
      <c r="AC37" s="160">
        <v>74.8</v>
      </c>
      <c r="AD37" s="160">
        <v>3277</v>
      </c>
      <c r="AE37" s="160">
        <v>1.3</v>
      </c>
      <c r="AF37" s="160">
        <v>525</v>
      </c>
      <c r="AG37" s="111">
        <f>(1/3-0.21*(MIN(Table112345[[#This Row],[b (mm)]],AA37)/MAX(Table112345[[#This Row],[b (mm)]],AA37))*(MIN(Table112345[[#This Row],[b (mm)]],AA37)^4/(12*MAX(Table112345[[#This Row],[b (mm)]],AA37)^4)))*MAX(Table112345[[#This Row],[b (mm)]],AA37)*MIN(Table112345[[#This Row],[b (mm)]],AA37)^3</f>
        <v>8727569373.5573311</v>
      </c>
      <c r="AH37" s="111">
        <f>Table112345[[#This Row],[b (mm)]]*AA37^3/12</f>
        <v>19470574572</v>
      </c>
      <c r="AI37" s="160">
        <v>4928</v>
      </c>
      <c r="AK37" s="1"/>
    </row>
    <row r="38" spans="1:44" x14ac:dyDescent="0.25">
      <c r="A38" s="155" t="s">
        <v>97</v>
      </c>
      <c r="B38" s="163">
        <v>6</v>
      </c>
      <c r="C38" s="111">
        <v>37</v>
      </c>
      <c r="D38" s="111">
        <f>Table112345[[#This Row],[a (mm)]]/Table112345[[#This Row],[d (mm)]]</f>
        <v>3</v>
      </c>
      <c r="E38" s="160">
        <v>222.40000000000003</v>
      </c>
      <c r="F38" s="137">
        <f>Table112345[[#This Row],[d (mm)]]</f>
        <v>822</v>
      </c>
      <c r="G38" s="111">
        <f t="shared" si="13"/>
        <v>548438.40000000014</v>
      </c>
      <c r="H38" s="111">
        <f t="shared" si="14"/>
        <v>1.0695138317454804E-6</v>
      </c>
      <c r="I38" s="111">
        <f>G38/(Table112345[[#This Row],[b (mm)]]*Z38^2)</f>
        <v>2.6525452029960411E-3</v>
      </c>
      <c r="J38" s="111">
        <f t="shared" si="15"/>
        <v>0.38781115131435556</v>
      </c>
      <c r="K38" s="111">
        <f t="shared" si="16"/>
        <v>8.1154354031605632E-7</v>
      </c>
      <c r="L38" s="111">
        <f>E38/(Table112345[[#This Row],[b (mm)]]*Z38)</f>
        <v>8.8418173433201354E-4</v>
      </c>
      <c r="M38" s="111">
        <f>Table112345[[#This Row],[M (KN.mm)]]/(Table112345[[#This Row],[b (mm)]]*Table112345[[#This Row],[d (mm)]])</f>
        <v>2.1803921568627458</v>
      </c>
      <c r="N38" s="111">
        <f>Table112345[[#This Row],[M (KN.mm)]]/(Table112345[[#This Row],[b (mm)]]*Table112345[[#This Row],[h (mm)]])</f>
        <v>1.9609216115330164</v>
      </c>
      <c r="O38" s="111">
        <f>Table112345[[#This Row],[M (KN.mm)]]/(Table112345[[#This Row],[b (mm)]]*Table112345[[#This Row],[h (mm)]]*Table112345[[#This Row],[L(mm)]])</f>
        <v>3.9791428805458938E-4</v>
      </c>
      <c r="P38" s="111">
        <f>Table112345[[#This Row],[M (KN.mm)]]/(Table112345[[#This Row],[b (mm)]]*Table112345[[#This Row],[d (mm)]]*Table112345[[#This Row],[L(mm)]])</f>
        <v>4.424497071555896E-4</v>
      </c>
      <c r="Q38" s="111">
        <f>Table112345[[#This Row],[M (KN.mm)]]/(Table112345[[#This Row],[b (mm)]]*Table112345[[#This Row],[h (mm)]]*Table112345[[#This Row],[L(mm)]]*Table112345[[#This Row],[fc (Mpa)]])</f>
        <v>5.3197097333501259E-6</v>
      </c>
      <c r="R38" s="111">
        <f>Table112345[[#This Row],[M (KN.mm)]]/(Table112345[[#This Row],[b (mm)]]*Table112345[[#This Row],[h (mm)]]*Table112345[[#This Row],[L(mm)]]/2)</f>
        <v>7.9582857610917875E-4</v>
      </c>
      <c r="S38" s="111">
        <f>Table112345[[#This Row],[M (KN.mm)]]/(Table112345[[#This Row],[a (mm)]]*Table112345[[#This Row],[b (mm)]]*Table112345[[#This Row],[h (mm)]]*Table112345[[#This Row],[L(mm)]]/2)</f>
        <v>3.2272042826811789E-7</v>
      </c>
      <c r="T38" s="111">
        <f>G38/($AL$5*AH38*0.001*Table112345[[#This Row],[pho (%)]])</f>
        <v>8.2270294749652327E-7</v>
      </c>
      <c r="U38" s="111">
        <f>Table112345[[#This Row],[M (KN.mm)]]/(Table112345[[#This Row],[b (mm)]]*Table112345[[#This Row],[d (mm)]]*Table112345[[#This Row],[pho (%)]])</f>
        <v>1.6772247360482657</v>
      </c>
      <c r="V38" s="111">
        <f>E38*224.8/(2*SQRT(Table112345[[#This Row],[fc (Mpa)]]*145.037)*Table112345[[#This Row],[b (mm)]]*Table112345[[#This Row],[d (mm)]]*(1/25.4)^2)</f>
        <v>0.61558082082641286</v>
      </c>
      <c r="W38" s="111">
        <f>Table112345[[#This Row],[M (KN.mm)]]/$G$41</f>
        <v>0.69172113289760351</v>
      </c>
      <c r="X38" s="110">
        <f t="shared" si="17"/>
        <v>0.61558082082641286</v>
      </c>
      <c r="Y38" s="111">
        <f>3*Table112345[[#This Row],[d (mm)]]</f>
        <v>2466</v>
      </c>
      <c r="Z38" s="160">
        <v>822</v>
      </c>
      <c r="AA38" s="160">
        <v>914</v>
      </c>
      <c r="AB38" s="160">
        <v>306</v>
      </c>
      <c r="AC38" s="160">
        <v>74.8</v>
      </c>
      <c r="AD38" s="160">
        <v>3277</v>
      </c>
      <c r="AE38" s="160">
        <v>1.3</v>
      </c>
      <c r="AF38" s="160">
        <v>525</v>
      </c>
      <c r="AG38" s="111">
        <f>(1/3-0.21*(MIN(Table112345[[#This Row],[b (mm)]],AA38)/MAX(Table112345[[#This Row],[b (mm)]],AA38))*(MIN(Table112345[[#This Row],[b (mm)]],AA38)^4/(12*MAX(Table112345[[#This Row],[b (mm)]],AA38)^4)))*MAX(Table112345[[#This Row],[b (mm)]],AA38)*MIN(Table112345[[#This Row],[b (mm)]],AA38)^3</f>
        <v>8727569373.5573311</v>
      </c>
      <c r="AH38" s="111">
        <f>Table112345[[#This Row],[b (mm)]]*AA38^3/12</f>
        <v>19470574572</v>
      </c>
      <c r="AI38" s="160">
        <v>4928</v>
      </c>
      <c r="AK38" s="139"/>
      <c r="AL38" s="139"/>
      <c r="AM38" s="139"/>
      <c r="AN38" s="139"/>
      <c r="AO38" s="139"/>
      <c r="AP38" s="139"/>
      <c r="AQ38" s="1"/>
      <c r="AR38" s="1"/>
    </row>
    <row r="39" spans="1:44" x14ac:dyDescent="0.25">
      <c r="A39" s="155" t="s">
        <v>97</v>
      </c>
      <c r="B39" s="163">
        <v>7</v>
      </c>
      <c r="C39" s="111">
        <v>38</v>
      </c>
      <c r="D39" s="111">
        <f>Table112345[[#This Row],[a (mm)]]/Table112345[[#This Row],[d (mm)]]</f>
        <v>3</v>
      </c>
      <c r="E39" s="160">
        <v>244.64000000000001</v>
      </c>
      <c r="F39" s="137">
        <f>Table112345[[#This Row],[d (mm)]]</f>
        <v>822</v>
      </c>
      <c r="G39" s="111">
        <f t="shared" si="13"/>
        <v>603282.24</v>
      </c>
      <c r="H39" s="111">
        <f t="shared" si="14"/>
        <v>1.1764652149200282E-6</v>
      </c>
      <c r="I39" s="111">
        <f>G39/(Table112345[[#This Row],[b (mm)]]*Z39^2)</f>
        <v>2.9177997232956443E-3</v>
      </c>
      <c r="J39" s="111">
        <f t="shared" si="15"/>
        <v>0.42659226644579096</v>
      </c>
      <c r="K39" s="111">
        <f t="shared" si="16"/>
        <v>8.9269789434766184E-7</v>
      </c>
      <c r="L39" s="111">
        <f>E39/(Table112345[[#This Row],[b (mm)]]*Z39)</f>
        <v>9.7259990776521487E-4</v>
      </c>
      <c r="M39" s="111">
        <f>Table112345[[#This Row],[M (KN.mm)]]/(Table112345[[#This Row],[b (mm)]]*Table112345[[#This Row],[d (mm)]])</f>
        <v>2.3984313725490196</v>
      </c>
      <c r="N39" s="111">
        <f>Table112345[[#This Row],[M (KN.mm)]]/(Table112345[[#This Row],[b (mm)]]*Table112345[[#This Row],[h (mm)]])</f>
        <v>2.1570137726863172</v>
      </c>
      <c r="O39" s="111">
        <f>Table112345[[#This Row],[M (KN.mm)]]/(Table112345[[#This Row],[b (mm)]]*Table112345[[#This Row],[h (mm)]]*Table112345[[#This Row],[L(mm)]])</f>
        <v>4.3770571686004819E-4</v>
      </c>
      <c r="P39" s="111">
        <f>Table112345[[#This Row],[M (KN.mm)]]/(Table112345[[#This Row],[b (mm)]]*Table112345[[#This Row],[d (mm)]]*Table112345[[#This Row],[L(mm)]])</f>
        <v>4.8669467787114845E-4</v>
      </c>
      <c r="Q39" s="111">
        <f>Table112345[[#This Row],[M (KN.mm)]]/(Table112345[[#This Row],[b (mm)]]*Table112345[[#This Row],[h (mm)]]*Table112345[[#This Row],[L(mm)]]*Table112345[[#This Row],[fc (Mpa)]])</f>
        <v>5.8516807066851365E-6</v>
      </c>
      <c r="R39" s="111">
        <f>Table112345[[#This Row],[M (KN.mm)]]/(Table112345[[#This Row],[b (mm)]]*Table112345[[#This Row],[h (mm)]]*Table112345[[#This Row],[L(mm)]]/2)</f>
        <v>8.7541143372009639E-4</v>
      </c>
      <c r="S39" s="111">
        <f>Table112345[[#This Row],[M (KN.mm)]]/(Table112345[[#This Row],[a (mm)]]*Table112345[[#This Row],[b (mm)]]*Table112345[[#This Row],[h (mm)]]*Table112345[[#This Row],[L(mm)]]/2)</f>
        <v>3.5499247109492957E-7</v>
      </c>
      <c r="T39" s="111">
        <f>G39/($AL$5*AH39*0.001*Table112345[[#This Row],[pho (%)]])</f>
        <v>9.0497324224617545E-7</v>
      </c>
      <c r="U39" s="111">
        <f>Table112345[[#This Row],[M (KN.mm)]]/(Table112345[[#This Row],[b (mm)]]*Table112345[[#This Row],[d (mm)]]*Table112345[[#This Row],[pho (%)]])</f>
        <v>1.8449472096530919</v>
      </c>
      <c r="V39" s="111">
        <f>E39*224.8/(2*SQRT(Table112345[[#This Row],[fc (Mpa)]]*145.037)*Table112345[[#This Row],[b (mm)]]*Table112345[[#This Row],[d (mm)]]*(1/25.4)^2)</f>
        <v>0.6771389029090541</v>
      </c>
      <c r="W39" s="111">
        <f>Table112345[[#This Row],[M (KN.mm)]]/$G$41</f>
        <v>0.76089324618736365</v>
      </c>
      <c r="X39" s="110">
        <f t="shared" si="17"/>
        <v>0.6771389029090541</v>
      </c>
      <c r="Y39" s="111">
        <f>3*Table112345[[#This Row],[d (mm)]]</f>
        <v>2466</v>
      </c>
      <c r="Z39" s="160">
        <v>822</v>
      </c>
      <c r="AA39" s="160">
        <v>914</v>
      </c>
      <c r="AB39" s="160">
        <v>306</v>
      </c>
      <c r="AC39" s="160">
        <v>74.8</v>
      </c>
      <c r="AD39" s="160">
        <v>3277</v>
      </c>
      <c r="AE39" s="160">
        <v>1.3</v>
      </c>
      <c r="AF39" s="160">
        <v>525</v>
      </c>
      <c r="AG39" s="111">
        <f>(1/3-0.21*(MIN(Table112345[[#This Row],[b (mm)]],AA39)/MAX(Table112345[[#This Row],[b (mm)]],AA39))*(MIN(Table112345[[#This Row],[b (mm)]],AA39)^4/(12*MAX(Table112345[[#This Row],[b (mm)]],AA39)^4)))*MAX(Table112345[[#This Row],[b (mm)]],AA39)*MIN(Table112345[[#This Row],[b (mm)]],AA39)^3</f>
        <v>8727569373.5573311</v>
      </c>
      <c r="AH39" s="111">
        <f>Table112345[[#This Row],[b (mm)]]*AA39^3/12</f>
        <v>19470574572</v>
      </c>
      <c r="AI39" s="160">
        <v>4928</v>
      </c>
      <c r="AK39" s="139"/>
      <c r="AL39" s="139"/>
      <c r="AM39" s="139"/>
      <c r="AN39" s="139"/>
      <c r="AO39" s="139"/>
      <c r="AP39" s="139"/>
      <c r="AQ39" s="1"/>
      <c r="AR39" s="1"/>
    </row>
    <row r="40" spans="1:44" x14ac:dyDescent="0.25">
      <c r="A40" s="155" t="s">
        <v>97</v>
      </c>
      <c r="B40" s="163">
        <v>8</v>
      </c>
      <c r="C40" s="111">
        <v>39</v>
      </c>
      <c r="D40" s="111">
        <f>Table112345[[#This Row],[a (mm)]]/Table112345[[#This Row],[d (mm)]]</f>
        <v>3</v>
      </c>
      <c r="E40" s="160">
        <v>266.88</v>
      </c>
      <c r="F40" s="137">
        <f>Table112345[[#This Row],[d (mm)]]</f>
        <v>822</v>
      </c>
      <c r="G40" s="111">
        <f t="shared" si="13"/>
        <v>658126.07999999996</v>
      </c>
      <c r="H40" s="111">
        <f t="shared" si="14"/>
        <v>1.283416598094576E-6</v>
      </c>
      <c r="I40" s="111">
        <f>G40/(Table112345[[#This Row],[b (mm)]]*Z40^2)</f>
        <v>3.183054243595248E-3</v>
      </c>
      <c r="J40" s="111">
        <f t="shared" si="15"/>
        <v>0.46537338157722652</v>
      </c>
      <c r="K40" s="111">
        <f t="shared" si="16"/>
        <v>9.7385224837926737E-7</v>
      </c>
      <c r="L40" s="111">
        <f>E40/(Table112345[[#This Row],[b (mm)]]*Z40)</f>
        <v>1.061018081198416E-3</v>
      </c>
      <c r="M40" s="111">
        <f>Table112345[[#This Row],[M (KN.mm)]]/(Table112345[[#This Row],[b (mm)]]*Table112345[[#This Row],[d (mm)]])</f>
        <v>2.6164705882352939</v>
      </c>
      <c r="N40" s="111">
        <f>Table112345[[#This Row],[M (KN.mm)]]/(Table112345[[#This Row],[b (mm)]]*Table112345[[#This Row],[h (mm)]])</f>
        <v>2.3531059338396187</v>
      </c>
      <c r="O40" s="111">
        <f>Table112345[[#This Row],[M (KN.mm)]]/(Table112345[[#This Row],[b (mm)]]*Table112345[[#This Row],[h (mm)]]*Table112345[[#This Row],[L(mm)]])</f>
        <v>4.7749714566550707E-4</v>
      </c>
      <c r="P40" s="111">
        <f>Table112345[[#This Row],[M (KN.mm)]]/(Table112345[[#This Row],[b (mm)]]*Table112345[[#This Row],[d (mm)]]*Table112345[[#This Row],[L(mm)]])</f>
        <v>5.3093964858670737E-4</v>
      </c>
      <c r="Q40" s="111">
        <f>Table112345[[#This Row],[M (KN.mm)]]/(Table112345[[#This Row],[b (mm)]]*Table112345[[#This Row],[h (mm)]]*Table112345[[#This Row],[L(mm)]]*Table112345[[#This Row],[fc (Mpa)]])</f>
        <v>6.3836516800201488E-6</v>
      </c>
      <c r="R40" s="111">
        <f>Table112345[[#This Row],[M (KN.mm)]]/(Table112345[[#This Row],[b (mm)]]*Table112345[[#This Row],[h (mm)]]*Table112345[[#This Row],[L(mm)]]/2)</f>
        <v>9.5499429133101413E-4</v>
      </c>
      <c r="S40" s="111">
        <f>Table112345[[#This Row],[M (KN.mm)]]/(Table112345[[#This Row],[a (mm)]]*Table112345[[#This Row],[b (mm)]]*Table112345[[#This Row],[h (mm)]]*Table112345[[#This Row],[L(mm)]]/2)</f>
        <v>3.8726451392174136E-7</v>
      </c>
      <c r="T40" s="111">
        <f>G40/($AL$5*AH40*0.001*Table112345[[#This Row],[pho (%)]])</f>
        <v>9.8724353699582763E-7</v>
      </c>
      <c r="U40" s="111">
        <f>Table112345[[#This Row],[M (KN.mm)]]/(Table112345[[#This Row],[b (mm)]]*Table112345[[#This Row],[d (mm)]]*Table112345[[#This Row],[pho (%)]])</f>
        <v>2.0126696832579181</v>
      </c>
      <c r="V40" s="111">
        <f>E40*224.8/(2*SQRT(Table112345[[#This Row],[fc (Mpa)]]*145.037)*Table112345[[#This Row],[b (mm)]]*Table112345[[#This Row],[d (mm)]]*(1/25.4)^2)</f>
        <v>0.73869698499169523</v>
      </c>
      <c r="W40" s="111">
        <f>Table112345[[#This Row],[M (KN.mm)]]/$G$41</f>
        <v>0.83006535947712401</v>
      </c>
      <c r="X40" s="110">
        <f t="shared" si="17"/>
        <v>0.73869698499169523</v>
      </c>
      <c r="Y40" s="111">
        <f>3*Table112345[[#This Row],[d (mm)]]</f>
        <v>2466</v>
      </c>
      <c r="Z40" s="160">
        <v>822</v>
      </c>
      <c r="AA40" s="160">
        <v>914</v>
      </c>
      <c r="AB40" s="160">
        <v>306</v>
      </c>
      <c r="AC40" s="160">
        <v>74.8</v>
      </c>
      <c r="AD40" s="160">
        <v>3277</v>
      </c>
      <c r="AE40" s="160">
        <v>1.3</v>
      </c>
      <c r="AF40" s="160">
        <v>525</v>
      </c>
      <c r="AG40" s="111">
        <f>(1/3-0.21*(MIN(Table112345[[#This Row],[b (mm)]],AA40)/MAX(Table112345[[#This Row],[b (mm)]],AA40))*(MIN(Table112345[[#This Row],[b (mm)]],AA40)^4/(12*MAX(Table112345[[#This Row],[b (mm)]],AA40)^4)))*MAX(Table112345[[#This Row],[b (mm)]],AA40)*MIN(Table112345[[#This Row],[b (mm)]],AA40)^3</f>
        <v>8727569373.5573311</v>
      </c>
      <c r="AH40" s="111">
        <f>Table112345[[#This Row],[b (mm)]]*AA40^3/12</f>
        <v>19470574572</v>
      </c>
      <c r="AI40" s="160">
        <v>4928</v>
      </c>
      <c r="AK40" s="139"/>
      <c r="AL40" s="139"/>
      <c r="AM40" s="139"/>
      <c r="AN40" s="139"/>
      <c r="AO40" s="139"/>
      <c r="AP40" s="139"/>
      <c r="AQ40" s="1"/>
      <c r="AR40" s="1"/>
    </row>
    <row r="41" spans="1:44" x14ac:dyDescent="0.25">
      <c r="A41" s="155" t="s">
        <v>97</v>
      </c>
      <c r="B41" s="163" t="s">
        <v>92</v>
      </c>
      <c r="C41" s="111">
        <v>40</v>
      </c>
      <c r="D41" s="111">
        <f>Table112345[[#This Row],[a (mm)]]/Table112345[[#This Row],[d (mm)]]</f>
        <v>3</v>
      </c>
      <c r="E41" s="166">
        <v>321.51685039370085</v>
      </c>
      <c r="F41" s="137">
        <f>Table112345[[#This Row],[d (mm)]]</f>
        <v>822</v>
      </c>
      <c r="G41" s="111">
        <f t="shared" si="13"/>
        <v>792860.55307086627</v>
      </c>
      <c r="H41" s="111">
        <f t="shared" si="14"/>
        <v>1.5461633032163008E-6</v>
      </c>
      <c r="I41" s="111">
        <f>G41/(Table112345[[#This Row],[b (mm)]]*Z41^2)</f>
        <v>3.8347031438588429E-3</v>
      </c>
      <c r="J41" s="111">
        <f t="shared" si="15"/>
        <v>0.56064667229382414</v>
      </c>
      <c r="K41" s="111">
        <f t="shared" si="16"/>
        <v>1.1732235748191177E-6</v>
      </c>
      <c r="L41" s="111">
        <f>E41/(Table112345[[#This Row],[b (mm)]]*Z41)</f>
        <v>1.278234381286281E-3</v>
      </c>
      <c r="M41" s="111">
        <f>Table112345[[#This Row],[M (KN.mm)]]/(Table112345[[#This Row],[b (mm)]]*Table112345[[#This Row],[d (mm)]])</f>
        <v>3.1521259842519691</v>
      </c>
      <c r="N41" s="111">
        <f>Table112345[[#This Row],[M (KN.mm)]]/(Table112345[[#This Row],[b (mm)]]*Table112345[[#This Row],[h (mm)]])</f>
        <v>2.8348441565154472</v>
      </c>
      <c r="O41" s="111">
        <f>Table112345[[#This Row],[M (KN.mm)]]/(Table112345[[#This Row],[b (mm)]]*Table112345[[#This Row],[h (mm)]]*Table112345[[#This Row],[L(mm)]])</f>
        <v>5.7525246682537474E-4</v>
      </c>
      <c r="P41" s="111">
        <f>Table112345[[#This Row],[M (KN.mm)]]/(Table112345[[#This Row],[b (mm)]]*Table112345[[#This Row],[d (mm)]]*Table112345[[#This Row],[L(mm)]])</f>
        <v>6.3963595459658466E-4</v>
      </c>
      <c r="Q41" s="111">
        <f>Table112345[[#This Row],[M (KN.mm)]]/(Table112345[[#This Row],[b (mm)]]*Table112345[[#This Row],[h (mm)]]*Table112345[[#This Row],[L(mm)]]*Table112345[[#This Row],[fc (Mpa)]])</f>
        <v>7.6905410003392358E-6</v>
      </c>
      <c r="R41" s="111">
        <f>Table112345[[#This Row],[M (KN.mm)]]/(Table112345[[#This Row],[b (mm)]]*Table112345[[#This Row],[h (mm)]]*Table112345[[#This Row],[L(mm)]]/2)</f>
        <v>1.1505049336507495E-3</v>
      </c>
      <c r="S41" s="111">
        <f>Table112345[[#This Row],[M (KN.mm)]]/(Table112345[[#This Row],[a (mm)]]*Table112345[[#This Row],[b (mm)]]*Table112345[[#This Row],[h (mm)]]*Table112345[[#This Row],[L(mm)]]/2)</f>
        <v>4.6654701283485385E-7</v>
      </c>
      <c r="T41" s="111">
        <f>G41/($AL$5*AH41*0.001*Table112345[[#This Row],[pho (%)]])</f>
        <v>1.189356387089462E-6</v>
      </c>
      <c r="U41" s="111">
        <f>Table112345[[#This Row],[M (KN.mm)]]/(Table112345[[#This Row],[b (mm)]]*Table112345[[#This Row],[d (mm)]]*Table112345[[#This Row],[pho (%)]])</f>
        <v>2.4247122955784373</v>
      </c>
      <c r="V41" s="111">
        <f>E41*224.8/(2*SQRT(Table112345[[#This Row],[fc (Mpa)]]*145.037)*Table112345[[#This Row],[b (mm)]]*Table112345[[#This Row],[d (mm)]]*(1/25.4)^2)</f>
        <v>0.88992628900574322</v>
      </c>
      <c r="W41" s="111">
        <f>Table112345[[#This Row],[M (KN.mm)]]/$G$41</f>
        <v>1</v>
      </c>
      <c r="X41" s="110">
        <f t="shared" si="17"/>
        <v>0.88992628900574322</v>
      </c>
      <c r="Y41" s="111">
        <f>3*Table112345[[#This Row],[d (mm)]]</f>
        <v>2466</v>
      </c>
      <c r="Z41" s="160">
        <v>822</v>
      </c>
      <c r="AA41" s="160">
        <v>914</v>
      </c>
      <c r="AB41" s="160">
        <v>306</v>
      </c>
      <c r="AC41" s="160">
        <v>74.8</v>
      </c>
      <c r="AD41" s="160">
        <v>3277</v>
      </c>
      <c r="AE41" s="160">
        <v>1.3</v>
      </c>
      <c r="AF41" s="160">
        <v>525</v>
      </c>
      <c r="AG41" s="111">
        <f>(1/3-0.21*(MIN(Table112345[[#This Row],[b (mm)]],AA41)/MAX(Table112345[[#This Row],[b (mm)]],AA41))*(MIN(Table112345[[#This Row],[b (mm)]],AA41)^4/(12*MAX(Table112345[[#This Row],[b (mm)]],AA41)^4)))*MAX(Table112345[[#This Row],[b (mm)]],AA41)*MIN(Table112345[[#This Row],[b (mm)]],AA41)^3</f>
        <v>8727569373.5573311</v>
      </c>
      <c r="AH41" s="111">
        <f>Table112345[[#This Row],[b (mm)]]*AA41^3/12</f>
        <v>19470574572</v>
      </c>
      <c r="AI41" s="160">
        <v>4928</v>
      </c>
      <c r="AK41" s="139"/>
      <c r="AL41" s="139"/>
      <c r="AM41" s="139"/>
      <c r="AN41" s="139"/>
      <c r="AO41" s="139"/>
      <c r="AP41" s="139"/>
      <c r="AQ41" s="1"/>
      <c r="AR41" s="1"/>
    </row>
    <row r="42" spans="1:44" x14ac:dyDescent="0.25">
      <c r="A42" s="155" t="s">
        <v>97</v>
      </c>
      <c r="B42" s="163" t="s">
        <v>93</v>
      </c>
      <c r="C42" s="111">
        <v>41</v>
      </c>
      <c r="D42" s="111">
        <f>Table112345[[#This Row],[a (mm)]]/Table112345[[#This Row],[d (mm)]]</f>
        <v>3</v>
      </c>
      <c r="E42" s="166">
        <v>321.51685039370085</v>
      </c>
      <c r="F42" s="137">
        <f>Table112345[[#This Row],[d (mm)]]</f>
        <v>822</v>
      </c>
      <c r="G42" s="111">
        <f t="shared" si="13"/>
        <v>792860.55307086627</v>
      </c>
      <c r="H42" s="111">
        <f t="shared" si="14"/>
        <v>1.5461633032163008E-6</v>
      </c>
      <c r="I42" s="111">
        <f>G42/(Table112345[[#This Row],[b (mm)]]*Z42^2)</f>
        <v>3.8347031438588429E-3</v>
      </c>
      <c r="J42" s="111">
        <f t="shared" si="15"/>
        <v>0.56064667229382414</v>
      </c>
      <c r="K42" s="111">
        <f t="shared" si="16"/>
        <v>1.1732235748191177E-6</v>
      </c>
      <c r="L42" s="111">
        <f>E42/(Table112345[[#This Row],[b (mm)]]*Z42)</f>
        <v>1.278234381286281E-3</v>
      </c>
      <c r="M42" s="111">
        <f>Table112345[[#This Row],[M (KN.mm)]]/(Table112345[[#This Row],[b (mm)]]*Table112345[[#This Row],[d (mm)]])</f>
        <v>3.1521259842519691</v>
      </c>
      <c r="N42" s="111">
        <f>Table112345[[#This Row],[M (KN.mm)]]/(Table112345[[#This Row],[b (mm)]]*Table112345[[#This Row],[h (mm)]])</f>
        <v>2.8348441565154472</v>
      </c>
      <c r="O42" s="111">
        <f>Table112345[[#This Row],[M (KN.mm)]]/(Table112345[[#This Row],[b (mm)]]*Table112345[[#This Row],[h (mm)]]*Table112345[[#This Row],[L(mm)]])</f>
        <v>5.7525246682537474E-4</v>
      </c>
      <c r="P42" s="111">
        <f>Table112345[[#This Row],[M (KN.mm)]]/(Table112345[[#This Row],[b (mm)]]*Table112345[[#This Row],[d (mm)]]*Table112345[[#This Row],[L(mm)]])</f>
        <v>6.3963595459658466E-4</v>
      </c>
      <c r="Q42" s="111">
        <f>Table112345[[#This Row],[M (KN.mm)]]/(Table112345[[#This Row],[b (mm)]]*Table112345[[#This Row],[h (mm)]]*Table112345[[#This Row],[L(mm)]]*Table112345[[#This Row],[fc (Mpa)]])</f>
        <v>7.6905410003392358E-6</v>
      </c>
      <c r="R42" s="111">
        <f>Table112345[[#This Row],[M (KN.mm)]]/(Table112345[[#This Row],[b (mm)]]*Table112345[[#This Row],[h (mm)]]*Table112345[[#This Row],[L(mm)]]/2)</f>
        <v>1.1505049336507495E-3</v>
      </c>
      <c r="S42" s="111">
        <f>Table112345[[#This Row],[M (KN.mm)]]/(Table112345[[#This Row],[a (mm)]]*Table112345[[#This Row],[b (mm)]]*Table112345[[#This Row],[h (mm)]]*Table112345[[#This Row],[L(mm)]]/2)</f>
        <v>4.6654701283485385E-7</v>
      </c>
      <c r="T42" s="111">
        <f>G42/($AL$5*AH42*0.001*Table112345[[#This Row],[pho (%)]])</f>
        <v>1.189356387089462E-6</v>
      </c>
      <c r="U42" s="111">
        <f>Table112345[[#This Row],[M (KN.mm)]]/(Table112345[[#This Row],[b (mm)]]*Table112345[[#This Row],[d (mm)]]*Table112345[[#This Row],[pho (%)]])</f>
        <v>2.4247122955784373</v>
      </c>
      <c r="V42" s="111">
        <f>E42*224.8/(2*SQRT(Table112345[[#This Row],[fc (Mpa)]]*145.037)*Table112345[[#This Row],[b (mm)]]*Table112345[[#This Row],[d (mm)]]*(1/25.4)^2)</f>
        <v>0.88992628900574322</v>
      </c>
      <c r="W42" s="111">
        <f>Table112345[[#This Row],[M (KN.mm)]]/$G$41</f>
        <v>1</v>
      </c>
      <c r="X42" s="110">
        <f t="shared" si="17"/>
        <v>0.88992628900574322</v>
      </c>
      <c r="Y42" s="111">
        <f>3*Table112345[[#This Row],[d (mm)]]</f>
        <v>2466</v>
      </c>
      <c r="Z42" s="160">
        <v>822</v>
      </c>
      <c r="AA42" s="160">
        <v>914</v>
      </c>
      <c r="AB42" s="160">
        <v>306</v>
      </c>
      <c r="AC42" s="160">
        <v>74.8</v>
      </c>
      <c r="AD42" s="160">
        <v>3277</v>
      </c>
      <c r="AE42" s="160">
        <v>1.3</v>
      </c>
      <c r="AF42" s="160">
        <v>525</v>
      </c>
      <c r="AG42" s="111">
        <f>(1/3-0.21*(MIN(Table112345[[#This Row],[b (mm)]],AA42)/MAX(Table112345[[#This Row],[b (mm)]],AA42))*(MIN(Table112345[[#This Row],[b (mm)]],AA42)^4/(12*MAX(Table112345[[#This Row],[b (mm)]],AA42)^4)))*MAX(Table112345[[#This Row],[b (mm)]],AA42)*MIN(Table112345[[#This Row],[b (mm)]],AA42)^3</f>
        <v>8727569373.5573311</v>
      </c>
      <c r="AH42" s="111">
        <f>Table112345[[#This Row],[b (mm)]]*AA42^3/12</f>
        <v>19470574572</v>
      </c>
      <c r="AI42" s="160">
        <v>4928</v>
      </c>
      <c r="AK42" s="139"/>
      <c r="AL42" s="139"/>
      <c r="AM42" s="139"/>
      <c r="AN42" s="139"/>
      <c r="AO42" s="139"/>
      <c r="AP42" s="139"/>
      <c r="AQ42" s="1"/>
      <c r="AR42" s="1"/>
    </row>
    <row r="43" spans="1:44" x14ac:dyDescent="0.25">
      <c r="A43" s="156" t="s">
        <v>98</v>
      </c>
      <c r="B43" s="164">
        <v>1</v>
      </c>
      <c r="C43" s="111">
        <v>42</v>
      </c>
      <c r="D43" s="111">
        <f>Table112345[[#This Row],[a (mm)]]/Table112345[[#This Row],[d (mm)]]</f>
        <v>2.99</v>
      </c>
      <c r="E43" s="160">
        <v>40.032000000000004</v>
      </c>
      <c r="F43" s="137">
        <f>Table112345[[#This Row],[d (mm)]]</f>
        <v>233</v>
      </c>
      <c r="G43" s="111">
        <f t="shared" si="13"/>
        <v>27889.093440000004</v>
      </c>
      <c r="H43" s="111">
        <f t="shared" si="14"/>
        <v>2.2062636286406383E-6</v>
      </c>
      <c r="I43" s="111">
        <f>G43/(Table112345[[#This Row],[b (mm)]]*Z43^2)</f>
        <v>2.5306175606249607E-3</v>
      </c>
      <c r="J43" s="111">
        <f t="shared" si="15"/>
        <v>0.37998628571428578</v>
      </c>
      <c r="K43" s="111">
        <f t="shared" si="16"/>
        <v>1.5093821097209948E-6</v>
      </c>
      <c r="L43" s="111">
        <f>E43/(Table112345[[#This Row],[b (mm)]]*Z43)</f>
        <v>8.463603881688831E-4</v>
      </c>
      <c r="M43" s="111">
        <f>Table112345[[#This Row],[M (KN.mm)]]/(Table112345[[#This Row],[b (mm)]]*Table112345[[#This Row],[d (mm)]])</f>
        <v>0.58963389162561586</v>
      </c>
      <c r="N43" s="111">
        <f>Table112345[[#This Row],[M (KN.mm)]]/(Table112345[[#This Row],[b (mm)]]*Table112345[[#This Row],[h (mm)]])</f>
        <v>0.45044162868448684</v>
      </c>
      <c r="O43" s="111">
        <f>Table112345[[#This Row],[M (KN.mm)]]/(Table112345[[#This Row],[b (mm)]]*Table112345[[#This Row],[h (mm)]]*Table112345[[#This Row],[L(mm)]])</f>
        <v>3.2243495253005502E-4</v>
      </c>
      <c r="P43" s="111">
        <f>Table112345[[#This Row],[M (KN.mm)]]/(Table112345[[#This Row],[b (mm)]]*Table112345[[#This Row],[d (mm)]]*Table112345[[#This Row],[L(mm)]])</f>
        <v>4.2207150438483597E-4</v>
      </c>
      <c r="Q43" s="111">
        <f>Table112345[[#This Row],[M (KN.mm)]]/(Table112345[[#This Row],[b (mm)]]*Table112345[[#This Row],[h (mm)]]*Table112345[[#This Row],[L(mm)]]*Table112345[[#This Row],[fc (Mpa)]])</f>
        <v>4.7002179669104237E-6</v>
      </c>
      <c r="R43" s="111">
        <f>Table112345[[#This Row],[M (KN.mm)]]/(Table112345[[#This Row],[b (mm)]]*Table112345[[#This Row],[h (mm)]]*Table112345[[#This Row],[L(mm)]]/2)</f>
        <v>6.4486990506011004E-4</v>
      </c>
      <c r="S43" s="111">
        <f>Table112345[[#This Row],[M (KN.mm)]]/(Table112345[[#This Row],[a (mm)]]*Table112345[[#This Row],[b (mm)]]*Table112345[[#This Row],[h (mm)]]*Table112345[[#This Row],[L(mm)]]/2)</f>
        <v>9.2564615249703586E-7</v>
      </c>
      <c r="T43" s="111">
        <f>G43/($AL$5*AH43*0.001*Table112345[[#This Row],[pho (%)]])</f>
        <v>1.7510028798735224E-6</v>
      </c>
      <c r="U43" s="111">
        <f>Table112345[[#This Row],[M (KN.mm)]]/(Table112345[[#This Row],[b (mm)]]*Table112345[[#This Row],[d (mm)]]*Table112345[[#This Row],[pho (%)]])</f>
        <v>0.46796340605207609</v>
      </c>
      <c r="V43" s="111">
        <f>E43*224.8/(2*SQRT(Table112345[[#This Row],[fc (Mpa)]]*145.037)*Table112345[[#This Row],[b (mm)]]*Table112345[[#This Row],[d (mm)]]*(1/25.4)^2)</f>
        <v>0.6153009868888577</v>
      </c>
      <c r="W43" s="111">
        <f>Table112345[[#This Row],[M (KN.mm)]]/$G$52</f>
        <v>0.34124496193461712</v>
      </c>
      <c r="X43" s="110">
        <f t="shared" si="17"/>
        <v>0.6153009868888577</v>
      </c>
      <c r="Y43" s="111">
        <f>2.99*Table112345[[#This Row],[d (mm)]]</f>
        <v>696.67000000000007</v>
      </c>
      <c r="Z43" s="160">
        <v>233</v>
      </c>
      <c r="AA43" s="160">
        <v>305</v>
      </c>
      <c r="AB43" s="160">
        <v>203</v>
      </c>
      <c r="AC43" s="160">
        <v>68.599999999999994</v>
      </c>
      <c r="AD43" s="160">
        <v>600</v>
      </c>
      <c r="AE43" s="160">
        <v>1.26</v>
      </c>
      <c r="AF43" s="160">
        <v>525</v>
      </c>
      <c r="AG43" s="111">
        <f>(1/3-0.21*(MIN(Table112345[[#This Row],[b (mm)]],AA43)/MAX(Table112345[[#This Row],[b (mm)]],AA43))*(MIN(Table112345[[#This Row],[b (mm)]],AA43)^4/(12*MAX(Table112345[[#This Row],[b (mm)]],AA43)^4)))*MAX(Table112345[[#This Row],[b (mm)]],AA43)*MIN(Table112345[[#This Row],[b (mm)]],AA43)^3</f>
        <v>844653219.61076438</v>
      </c>
      <c r="AH43" s="111">
        <f>Table112345[[#This Row],[b (mm)]]*AA43^3/12</f>
        <v>479970239.58333331</v>
      </c>
      <c r="AI43" s="160">
        <v>1397</v>
      </c>
      <c r="AK43" s="139"/>
      <c r="AL43" s="139"/>
      <c r="AM43" s="139"/>
      <c r="AN43" s="139"/>
      <c r="AO43" s="139"/>
      <c r="AP43" s="139"/>
      <c r="AQ43" s="1"/>
      <c r="AR43" s="1"/>
    </row>
    <row r="44" spans="1:44" x14ac:dyDescent="0.25">
      <c r="A44" s="156" t="s">
        <v>98</v>
      </c>
      <c r="B44" s="164">
        <v>2</v>
      </c>
      <c r="C44" s="111">
        <v>43</v>
      </c>
      <c r="D44" s="111">
        <f>Table112345[[#This Row],[a (mm)]]/Table112345[[#This Row],[d (mm)]]</f>
        <v>2.99</v>
      </c>
      <c r="E44" s="160">
        <v>44.480000000000004</v>
      </c>
      <c r="F44" s="137">
        <f>Table112345[[#This Row],[d (mm)]]</f>
        <v>233</v>
      </c>
      <c r="G44" s="111">
        <f t="shared" si="13"/>
        <v>30987.881600000004</v>
      </c>
      <c r="H44" s="111">
        <f t="shared" si="14"/>
        <v>2.4514040318229313E-6</v>
      </c>
      <c r="I44" s="111">
        <f>G44/(Table112345[[#This Row],[b (mm)]]*Z44^2)</f>
        <v>2.8117972895832896E-3</v>
      </c>
      <c r="J44" s="111">
        <f t="shared" si="15"/>
        <v>0.42220698412698421</v>
      </c>
      <c r="K44" s="111">
        <f t="shared" si="16"/>
        <v>1.6770912330233276E-6</v>
      </c>
      <c r="L44" s="111">
        <f>E44/(Table112345[[#This Row],[b (mm)]]*Z44)</f>
        <v>9.4040043129875906E-4</v>
      </c>
      <c r="M44" s="111">
        <f>Table112345[[#This Row],[M (KN.mm)]]/(Table112345[[#This Row],[b (mm)]]*Table112345[[#This Row],[d (mm)]])</f>
        <v>0.65514876847290648</v>
      </c>
      <c r="N44" s="111">
        <f>Table112345[[#This Row],[M (KN.mm)]]/(Table112345[[#This Row],[b (mm)]]*Table112345[[#This Row],[h (mm)]])</f>
        <v>0.50049069853831873</v>
      </c>
      <c r="O44" s="111">
        <f>Table112345[[#This Row],[M (KN.mm)]]/(Table112345[[#This Row],[b (mm)]]*Table112345[[#This Row],[h (mm)]]*Table112345[[#This Row],[L(mm)]])</f>
        <v>3.5826105836672781E-4</v>
      </c>
      <c r="P44" s="111">
        <f>Table112345[[#This Row],[M (KN.mm)]]/(Table112345[[#This Row],[b (mm)]]*Table112345[[#This Row],[d (mm)]]*Table112345[[#This Row],[L(mm)]])</f>
        <v>4.6896833820537332E-4</v>
      </c>
      <c r="Q44" s="111">
        <f>Table112345[[#This Row],[M (KN.mm)]]/(Table112345[[#This Row],[b (mm)]]*Table112345[[#This Row],[h (mm)]]*Table112345[[#This Row],[L(mm)]]*Table112345[[#This Row],[fc (Mpa)]])</f>
        <v>5.2224644076782486E-6</v>
      </c>
      <c r="R44" s="111">
        <f>Table112345[[#This Row],[M (KN.mm)]]/(Table112345[[#This Row],[b (mm)]]*Table112345[[#This Row],[h (mm)]]*Table112345[[#This Row],[L(mm)]]/2)</f>
        <v>7.1652211673345562E-4</v>
      </c>
      <c r="S44" s="111">
        <f>Table112345[[#This Row],[M (KN.mm)]]/(Table112345[[#This Row],[a (mm)]]*Table112345[[#This Row],[b (mm)]]*Table112345[[#This Row],[h (mm)]]*Table112345[[#This Row],[L(mm)]]/2)</f>
        <v>1.0284957249967066E-6</v>
      </c>
      <c r="T44" s="111">
        <f>G44/($AL$5*AH44*0.001*Table112345[[#This Row],[pho (%)]])</f>
        <v>1.945558755415025E-6</v>
      </c>
      <c r="U44" s="111">
        <f>Table112345[[#This Row],[M (KN.mm)]]/(Table112345[[#This Row],[b (mm)]]*Table112345[[#This Row],[d (mm)]]*Table112345[[#This Row],[pho (%)]])</f>
        <v>0.51995934005786226</v>
      </c>
      <c r="V44" s="111">
        <f>E44*224.8/(2*SQRT(Table112345[[#This Row],[fc (Mpa)]]*145.037)*Table112345[[#This Row],[b (mm)]]*Table112345[[#This Row],[d (mm)]]*(1/25.4)^2)</f>
        <v>0.68366776320984191</v>
      </c>
      <c r="W44" s="111">
        <f>Table112345[[#This Row],[M (KN.mm)]]/$G$52</f>
        <v>0.37916106881624123</v>
      </c>
      <c r="X44" s="110">
        <f t="shared" si="17"/>
        <v>0.68366776320984191</v>
      </c>
      <c r="Y44" s="111">
        <f>2.99*Table112345[[#This Row],[d (mm)]]</f>
        <v>696.67000000000007</v>
      </c>
      <c r="Z44" s="160">
        <v>233</v>
      </c>
      <c r="AA44" s="160">
        <v>305</v>
      </c>
      <c r="AB44" s="160">
        <v>203</v>
      </c>
      <c r="AC44" s="160">
        <v>68.599999999999994</v>
      </c>
      <c r="AD44" s="160">
        <v>600</v>
      </c>
      <c r="AE44" s="160">
        <v>1.26</v>
      </c>
      <c r="AF44" s="160">
        <v>525</v>
      </c>
      <c r="AG44" s="111">
        <f>(1/3-0.21*(MIN(Table112345[[#This Row],[b (mm)]],AA44)/MAX(Table112345[[#This Row],[b (mm)]],AA44))*(MIN(Table112345[[#This Row],[b (mm)]],AA44)^4/(12*MAX(Table112345[[#This Row],[b (mm)]],AA44)^4)))*MAX(Table112345[[#This Row],[b (mm)]],AA44)*MIN(Table112345[[#This Row],[b (mm)]],AA44)^3</f>
        <v>844653219.61076438</v>
      </c>
      <c r="AH44" s="111">
        <f>Table112345[[#This Row],[b (mm)]]*AA44^3/12</f>
        <v>479970239.58333331</v>
      </c>
      <c r="AI44" s="160">
        <v>1397</v>
      </c>
      <c r="AK44" s="139"/>
      <c r="AL44" s="139"/>
      <c r="AM44" s="139"/>
      <c r="AN44" s="139"/>
      <c r="AO44" s="139"/>
      <c r="AP44" s="139"/>
      <c r="AQ44" s="1"/>
      <c r="AR44" s="1"/>
    </row>
    <row r="45" spans="1:44" x14ac:dyDescent="0.25">
      <c r="A45" s="156" t="s">
        <v>98</v>
      </c>
      <c r="B45" s="164">
        <v>3</v>
      </c>
      <c r="C45" s="111">
        <v>44</v>
      </c>
      <c r="D45" s="111">
        <f>Table112345[[#This Row],[a (mm)]]/Table112345[[#This Row],[d (mm)]]</f>
        <v>2.99</v>
      </c>
      <c r="E45" s="160">
        <v>53.376000000000005</v>
      </c>
      <c r="F45" s="137">
        <f>Table112345[[#This Row],[d (mm)]]</f>
        <v>233</v>
      </c>
      <c r="G45" s="111">
        <f t="shared" si="13"/>
        <v>37185.457920000008</v>
      </c>
      <c r="H45" s="111">
        <f t="shared" si="14"/>
        <v>2.9416848381875178E-6</v>
      </c>
      <c r="I45" s="111">
        <f>G45/(Table112345[[#This Row],[b (mm)]]*Z45^2)</f>
        <v>3.3741567474999479E-3</v>
      </c>
      <c r="J45" s="111">
        <f t="shared" si="15"/>
        <v>0.50664838095238107</v>
      </c>
      <c r="K45" s="111">
        <f t="shared" si="16"/>
        <v>2.0125094796279932E-6</v>
      </c>
      <c r="L45" s="111">
        <f>E45/(Table112345[[#This Row],[b (mm)]]*Z45)</f>
        <v>1.1284805175585109E-3</v>
      </c>
      <c r="M45" s="111">
        <f>Table112345[[#This Row],[M (KN.mm)]]/(Table112345[[#This Row],[b (mm)]]*Table112345[[#This Row],[d (mm)]])</f>
        <v>0.78617852216748785</v>
      </c>
      <c r="N45" s="111">
        <f>Table112345[[#This Row],[M (KN.mm)]]/(Table112345[[#This Row],[b (mm)]]*Table112345[[#This Row],[h (mm)]])</f>
        <v>0.60058883824598253</v>
      </c>
      <c r="O45" s="111">
        <f>Table112345[[#This Row],[M (KN.mm)]]/(Table112345[[#This Row],[b (mm)]]*Table112345[[#This Row],[h (mm)]]*Table112345[[#This Row],[L(mm)]])</f>
        <v>4.2991327004007339E-4</v>
      </c>
      <c r="P45" s="111">
        <f>Table112345[[#This Row],[M (KN.mm)]]/(Table112345[[#This Row],[b (mm)]]*Table112345[[#This Row],[d (mm)]]*Table112345[[#This Row],[L(mm)]])</f>
        <v>5.6276200584644796E-4</v>
      </c>
      <c r="Q45" s="111">
        <f>Table112345[[#This Row],[M (KN.mm)]]/(Table112345[[#This Row],[b (mm)]]*Table112345[[#This Row],[h (mm)]]*Table112345[[#This Row],[L(mm)]]*Table112345[[#This Row],[fc (Mpa)]])</f>
        <v>6.2669572892138985E-6</v>
      </c>
      <c r="R45" s="111">
        <f>Table112345[[#This Row],[M (KN.mm)]]/(Table112345[[#This Row],[b (mm)]]*Table112345[[#This Row],[h (mm)]]*Table112345[[#This Row],[L(mm)]]/2)</f>
        <v>8.5982654008014679E-4</v>
      </c>
      <c r="S45" s="111">
        <f>Table112345[[#This Row],[M (KN.mm)]]/(Table112345[[#This Row],[a (mm)]]*Table112345[[#This Row],[b (mm)]]*Table112345[[#This Row],[h (mm)]]*Table112345[[#This Row],[L(mm)]]/2)</f>
        <v>1.234194869996048E-6</v>
      </c>
      <c r="T45" s="111">
        <f>G45/($AL$5*AH45*0.001*Table112345[[#This Row],[pho (%)]])</f>
        <v>2.3346705064980302E-6</v>
      </c>
      <c r="U45" s="111">
        <f>Table112345[[#This Row],[M (KN.mm)]]/(Table112345[[#This Row],[b (mm)]]*Table112345[[#This Row],[d (mm)]]*Table112345[[#This Row],[pho (%)]])</f>
        <v>0.62395120806943483</v>
      </c>
      <c r="V45" s="111">
        <f>E45*224.8/(2*SQRT(Table112345[[#This Row],[fc (Mpa)]]*145.037)*Table112345[[#This Row],[b (mm)]]*Table112345[[#This Row],[d (mm)]]*(1/25.4)^2)</f>
        <v>0.82040131585181042</v>
      </c>
      <c r="W45" s="111">
        <f>Table112345[[#This Row],[M (KN.mm)]]/$G$52</f>
        <v>0.45499328257948951</v>
      </c>
      <c r="X45" s="110">
        <f t="shared" si="17"/>
        <v>0.82040131585181042</v>
      </c>
      <c r="Y45" s="111">
        <f>2.99*Table112345[[#This Row],[d (mm)]]</f>
        <v>696.67000000000007</v>
      </c>
      <c r="Z45" s="160">
        <v>233</v>
      </c>
      <c r="AA45" s="160">
        <v>305</v>
      </c>
      <c r="AB45" s="160">
        <v>203</v>
      </c>
      <c r="AC45" s="160">
        <v>68.599999999999994</v>
      </c>
      <c r="AD45" s="160">
        <v>600</v>
      </c>
      <c r="AE45" s="160">
        <v>1.26</v>
      </c>
      <c r="AF45" s="160">
        <v>525</v>
      </c>
      <c r="AG45" s="111">
        <f>(1/3-0.21*(MIN(Table112345[[#This Row],[b (mm)]],AA45)/MAX(Table112345[[#This Row],[b (mm)]],AA45))*(MIN(Table112345[[#This Row],[b (mm)]],AA45)^4/(12*MAX(Table112345[[#This Row],[b (mm)]],AA45)^4)))*MAX(Table112345[[#This Row],[b (mm)]],AA45)*MIN(Table112345[[#This Row],[b (mm)]],AA45)^3</f>
        <v>844653219.61076438</v>
      </c>
      <c r="AH45" s="111">
        <f>Table112345[[#This Row],[b (mm)]]*AA45^3/12</f>
        <v>479970239.58333331</v>
      </c>
      <c r="AI45" s="160">
        <v>1397</v>
      </c>
      <c r="AK45" s="139"/>
      <c r="AL45" s="139"/>
      <c r="AM45" s="139"/>
      <c r="AN45" s="139"/>
      <c r="AO45" s="139"/>
      <c r="AP45" s="139"/>
      <c r="AQ45" s="1"/>
      <c r="AR45" s="1"/>
    </row>
    <row r="46" spans="1:44" x14ac:dyDescent="0.25">
      <c r="A46" s="156" t="s">
        <v>98</v>
      </c>
      <c r="B46" s="164">
        <v>4</v>
      </c>
      <c r="C46" s="111">
        <v>45</v>
      </c>
      <c r="D46" s="111">
        <f>Table112345[[#This Row],[a (mm)]]/Table112345[[#This Row],[d (mm)]]</f>
        <v>2.99</v>
      </c>
      <c r="E46" s="160">
        <v>62.272000000000006</v>
      </c>
      <c r="F46" s="137">
        <f>Table112345[[#This Row],[d (mm)]]</f>
        <v>233</v>
      </c>
      <c r="G46" s="111">
        <f t="shared" si="13"/>
        <v>43383.034240000008</v>
      </c>
      <c r="H46" s="111">
        <f t="shared" si="14"/>
        <v>3.4319656445521039E-6</v>
      </c>
      <c r="I46" s="111">
        <f>G46/(Table112345[[#This Row],[b (mm)]]*Z46^2)</f>
        <v>3.9365162054166057E-3</v>
      </c>
      <c r="J46" s="111">
        <f t="shared" si="15"/>
        <v>0.59108977777777794</v>
      </c>
      <c r="K46" s="111">
        <f t="shared" si="16"/>
        <v>2.3479277262326588E-6</v>
      </c>
      <c r="L46" s="111">
        <f>E46/(Table112345[[#This Row],[b (mm)]]*Z46)</f>
        <v>1.3165606038182626E-3</v>
      </c>
      <c r="M46" s="111">
        <f>Table112345[[#This Row],[M (KN.mm)]]/(Table112345[[#This Row],[b (mm)]]*Table112345[[#This Row],[d (mm)]])</f>
        <v>0.9172082758620691</v>
      </c>
      <c r="N46" s="111">
        <f>Table112345[[#This Row],[M (KN.mm)]]/(Table112345[[#This Row],[b (mm)]]*Table112345[[#This Row],[h (mm)]])</f>
        <v>0.70068697795364621</v>
      </c>
      <c r="O46" s="111">
        <f>Table112345[[#This Row],[M (KN.mm)]]/(Table112345[[#This Row],[b (mm)]]*Table112345[[#This Row],[h (mm)]]*Table112345[[#This Row],[L(mm)]])</f>
        <v>5.0156548171341898E-4</v>
      </c>
      <c r="P46" s="111">
        <f>Table112345[[#This Row],[M (KN.mm)]]/(Table112345[[#This Row],[b (mm)]]*Table112345[[#This Row],[d (mm)]]*Table112345[[#This Row],[L(mm)]])</f>
        <v>6.5655567348752266E-4</v>
      </c>
      <c r="Q46" s="111">
        <f>Table112345[[#This Row],[M (KN.mm)]]/(Table112345[[#This Row],[b (mm)]]*Table112345[[#This Row],[h (mm)]]*Table112345[[#This Row],[L(mm)]]*Table112345[[#This Row],[fc (Mpa)]])</f>
        <v>7.3114501707495484E-6</v>
      </c>
      <c r="R46" s="111">
        <f>Table112345[[#This Row],[M (KN.mm)]]/(Table112345[[#This Row],[b (mm)]]*Table112345[[#This Row],[h (mm)]]*Table112345[[#This Row],[L(mm)]]/2)</f>
        <v>1.003130963426838E-3</v>
      </c>
      <c r="S46" s="111">
        <f>Table112345[[#This Row],[M (KN.mm)]]/(Table112345[[#This Row],[a (mm)]]*Table112345[[#This Row],[b (mm)]]*Table112345[[#This Row],[h (mm)]]*Table112345[[#This Row],[L(mm)]]/2)</f>
        <v>1.4398940149953891E-6</v>
      </c>
      <c r="T46" s="111">
        <f>G46/($AL$5*AH46*0.001*Table112345[[#This Row],[pho (%)]])</f>
        <v>2.7237822575810349E-6</v>
      </c>
      <c r="U46" s="111">
        <f>Table112345[[#This Row],[M (KN.mm)]]/(Table112345[[#This Row],[b (mm)]]*Table112345[[#This Row],[d (mm)]]*Table112345[[#This Row],[pho (%)]])</f>
        <v>0.72794307608100728</v>
      </c>
      <c r="V46" s="111">
        <f>E46*224.8/(2*SQRT(Table112345[[#This Row],[fc (Mpa)]]*145.037)*Table112345[[#This Row],[b (mm)]]*Table112345[[#This Row],[d (mm)]]*(1/25.4)^2)</f>
        <v>0.95713486849377871</v>
      </c>
      <c r="W46" s="111">
        <f>Table112345[[#This Row],[M (KN.mm)]]/$G$52</f>
        <v>0.53082549634273768</v>
      </c>
      <c r="X46" s="110">
        <f t="shared" si="17"/>
        <v>0.95713486849377871</v>
      </c>
      <c r="Y46" s="111">
        <f>2.99*Table112345[[#This Row],[d (mm)]]</f>
        <v>696.67000000000007</v>
      </c>
      <c r="Z46" s="160">
        <v>233</v>
      </c>
      <c r="AA46" s="160">
        <v>305</v>
      </c>
      <c r="AB46" s="160">
        <v>203</v>
      </c>
      <c r="AC46" s="160">
        <v>68.599999999999994</v>
      </c>
      <c r="AD46" s="160">
        <v>600</v>
      </c>
      <c r="AE46" s="160">
        <v>1.26</v>
      </c>
      <c r="AF46" s="160">
        <v>525</v>
      </c>
      <c r="AG46" s="111">
        <f>(1/3-0.21*(MIN(Table112345[[#This Row],[b (mm)]],AA46)/MAX(Table112345[[#This Row],[b (mm)]],AA46))*(MIN(Table112345[[#This Row],[b (mm)]],AA46)^4/(12*MAX(Table112345[[#This Row],[b (mm)]],AA46)^4)))*MAX(Table112345[[#This Row],[b (mm)]],AA46)*MIN(Table112345[[#This Row],[b (mm)]],AA46)^3</f>
        <v>844653219.61076438</v>
      </c>
      <c r="AH46" s="111">
        <f>Table112345[[#This Row],[b (mm)]]*AA46^3/12</f>
        <v>479970239.58333331</v>
      </c>
      <c r="AI46" s="160">
        <v>1397</v>
      </c>
      <c r="AK46" s="139"/>
      <c r="AL46" s="139"/>
      <c r="AM46" s="139"/>
      <c r="AN46" s="139"/>
      <c r="AO46" s="139"/>
      <c r="AP46" s="139"/>
      <c r="AQ46" s="1"/>
      <c r="AR46" s="1"/>
    </row>
    <row r="47" spans="1:44" x14ac:dyDescent="0.25">
      <c r="A47" s="156" t="s">
        <v>98</v>
      </c>
      <c r="B47" s="164">
        <v>5</v>
      </c>
      <c r="C47" s="111">
        <v>46</v>
      </c>
      <c r="D47" s="111">
        <f>Table112345[[#This Row],[a (mm)]]/Table112345[[#This Row],[d (mm)]]</f>
        <v>2.99</v>
      </c>
      <c r="E47" s="160">
        <v>71.168000000000006</v>
      </c>
      <c r="F47" s="137">
        <f>Table112345[[#This Row],[d (mm)]]</f>
        <v>233</v>
      </c>
      <c r="G47" s="111">
        <f t="shared" si="13"/>
        <v>49580.610560000008</v>
      </c>
      <c r="H47" s="111">
        <f t="shared" si="14"/>
        <v>3.9222464509166904E-6</v>
      </c>
      <c r="I47" s="111">
        <f>G47/(Table112345[[#This Row],[b (mm)]]*Z47^2)</f>
        <v>4.4988756633332636E-3</v>
      </c>
      <c r="J47" s="111">
        <f t="shared" si="15"/>
        <v>0.67553117460317469</v>
      </c>
      <c r="K47" s="111">
        <f t="shared" si="16"/>
        <v>2.6833459728373244E-6</v>
      </c>
      <c r="L47" s="111">
        <f>E47/(Table112345[[#This Row],[b (mm)]]*Z47)</f>
        <v>1.5046406900780145E-3</v>
      </c>
      <c r="M47" s="111">
        <f>Table112345[[#This Row],[M (KN.mm)]]/(Table112345[[#This Row],[b (mm)]]*Table112345[[#This Row],[d (mm)]])</f>
        <v>1.0482380295566505</v>
      </c>
      <c r="N47" s="111">
        <f>Table112345[[#This Row],[M (KN.mm)]]/(Table112345[[#This Row],[b (mm)]]*Table112345[[#This Row],[h (mm)]])</f>
        <v>0.80078511766131</v>
      </c>
      <c r="O47" s="111">
        <f>Table112345[[#This Row],[M (KN.mm)]]/(Table112345[[#This Row],[b (mm)]]*Table112345[[#This Row],[h (mm)]]*Table112345[[#This Row],[L(mm)]])</f>
        <v>5.7321769338676445E-4</v>
      </c>
      <c r="P47" s="111">
        <f>Table112345[[#This Row],[M (KN.mm)]]/(Table112345[[#This Row],[b (mm)]]*Table112345[[#This Row],[d (mm)]]*Table112345[[#This Row],[L(mm)]])</f>
        <v>7.5034934112859725E-4</v>
      </c>
      <c r="Q47" s="111">
        <f>Table112345[[#This Row],[M (KN.mm)]]/(Table112345[[#This Row],[b (mm)]]*Table112345[[#This Row],[h (mm)]]*Table112345[[#This Row],[L(mm)]]*Table112345[[#This Row],[fc (Mpa)]])</f>
        <v>8.3559430522851975E-6</v>
      </c>
      <c r="R47" s="111">
        <f>Table112345[[#This Row],[M (KN.mm)]]/(Table112345[[#This Row],[b (mm)]]*Table112345[[#This Row],[h (mm)]]*Table112345[[#This Row],[L(mm)]]/2)</f>
        <v>1.1464353867735289E-3</v>
      </c>
      <c r="S47" s="111">
        <f>Table112345[[#This Row],[M (KN.mm)]]/(Table112345[[#This Row],[a (mm)]]*Table112345[[#This Row],[b (mm)]]*Table112345[[#This Row],[h (mm)]]*Table112345[[#This Row],[L(mm)]]/2)</f>
        <v>1.6455931599947305E-6</v>
      </c>
      <c r="T47" s="111">
        <f>G47/($AL$5*AH47*0.001*Table112345[[#This Row],[pho (%)]])</f>
        <v>3.1128940086640397E-6</v>
      </c>
      <c r="U47" s="111">
        <f>Table112345[[#This Row],[M (KN.mm)]]/(Table112345[[#This Row],[b (mm)]]*Table112345[[#This Row],[d (mm)]]*Table112345[[#This Row],[pho (%)]])</f>
        <v>0.83193494409257973</v>
      </c>
      <c r="V47" s="111">
        <f>E47*224.8/(2*SQRT(Table112345[[#This Row],[fc (Mpa)]]*145.037)*Table112345[[#This Row],[b (mm)]]*Table112345[[#This Row],[d (mm)]]*(1/25.4)^2)</f>
        <v>1.093868421135747</v>
      </c>
      <c r="W47" s="111">
        <f>Table112345[[#This Row],[M (KN.mm)]]/$G$52</f>
        <v>0.60665771010598601</v>
      </c>
      <c r="X47" s="110">
        <f t="shared" si="17"/>
        <v>1.093868421135747</v>
      </c>
      <c r="Y47" s="111">
        <f>2.99*Table112345[[#This Row],[d (mm)]]</f>
        <v>696.67000000000007</v>
      </c>
      <c r="Z47" s="160">
        <v>233</v>
      </c>
      <c r="AA47" s="160">
        <v>305</v>
      </c>
      <c r="AB47" s="160">
        <v>203</v>
      </c>
      <c r="AC47" s="160">
        <v>68.599999999999994</v>
      </c>
      <c r="AD47" s="160">
        <v>600</v>
      </c>
      <c r="AE47" s="160">
        <v>1.26</v>
      </c>
      <c r="AF47" s="160">
        <v>525</v>
      </c>
      <c r="AG47" s="111">
        <f>(1/3-0.21*(MIN(Table112345[[#This Row],[b (mm)]],AA47)/MAX(Table112345[[#This Row],[b (mm)]],AA47))*(MIN(Table112345[[#This Row],[b (mm)]],AA47)^4/(12*MAX(Table112345[[#This Row],[b (mm)]],AA47)^4)))*MAX(Table112345[[#This Row],[b (mm)]],AA47)*MIN(Table112345[[#This Row],[b (mm)]],AA47)^3</f>
        <v>844653219.61076438</v>
      </c>
      <c r="AH47" s="111">
        <f>Table112345[[#This Row],[b (mm)]]*AA47^3/12</f>
        <v>479970239.58333331</v>
      </c>
      <c r="AI47" s="160">
        <v>1397</v>
      </c>
      <c r="AK47" s="139"/>
      <c r="AL47" s="139"/>
      <c r="AM47" s="139"/>
      <c r="AN47" s="139"/>
      <c r="AO47" s="139"/>
      <c r="AP47" s="139"/>
      <c r="AQ47" s="1"/>
      <c r="AR47" s="1"/>
    </row>
    <row r="48" spans="1:44" x14ac:dyDescent="0.25">
      <c r="A48" s="156" t="s">
        <v>98</v>
      </c>
      <c r="B48" s="164">
        <v>6</v>
      </c>
      <c r="C48" s="111">
        <v>47</v>
      </c>
      <c r="D48" s="111">
        <f>Table112345[[#This Row],[a (mm)]]/Table112345[[#This Row],[d (mm)]]</f>
        <v>2.99</v>
      </c>
      <c r="E48" s="160">
        <v>80.064000000000007</v>
      </c>
      <c r="F48" s="137">
        <f>Table112345[[#This Row],[d (mm)]]</f>
        <v>233</v>
      </c>
      <c r="G48" s="111">
        <f t="shared" si="13"/>
        <v>55778.186880000008</v>
      </c>
      <c r="H48" s="111">
        <f t="shared" si="14"/>
        <v>4.4125272572812765E-6</v>
      </c>
      <c r="I48" s="111">
        <f>G48/(Table112345[[#This Row],[b (mm)]]*Z48^2)</f>
        <v>5.0612351212499214E-3</v>
      </c>
      <c r="J48" s="111">
        <f t="shared" si="15"/>
        <v>0.75997257142857155</v>
      </c>
      <c r="K48" s="111">
        <f t="shared" si="16"/>
        <v>3.0187642194419895E-6</v>
      </c>
      <c r="L48" s="111">
        <f>E48/(Table112345[[#This Row],[b (mm)]]*Z48)</f>
        <v>1.6927207763377662E-3</v>
      </c>
      <c r="M48" s="111">
        <f>Table112345[[#This Row],[M (KN.mm)]]/(Table112345[[#This Row],[b (mm)]]*Table112345[[#This Row],[d (mm)]])</f>
        <v>1.1792677832512317</v>
      </c>
      <c r="N48" s="111">
        <f>Table112345[[#This Row],[M (KN.mm)]]/(Table112345[[#This Row],[b (mm)]]*Table112345[[#This Row],[h (mm)]])</f>
        <v>0.90088325736897368</v>
      </c>
      <c r="O48" s="111">
        <f>Table112345[[#This Row],[M (KN.mm)]]/(Table112345[[#This Row],[b (mm)]]*Table112345[[#This Row],[h (mm)]]*Table112345[[#This Row],[L(mm)]])</f>
        <v>6.4486990506011004E-4</v>
      </c>
      <c r="P48" s="111">
        <f>Table112345[[#This Row],[M (KN.mm)]]/(Table112345[[#This Row],[b (mm)]]*Table112345[[#This Row],[d (mm)]]*Table112345[[#This Row],[L(mm)]])</f>
        <v>8.4414300876967194E-4</v>
      </c>
      <c r="Q48" s="111">
        <f>Table112345[[#This Row],[M (KN.mm)]]/(Table112345[[#This Row],[b (mm)]]*Table112345[[#This Row],[h (mm)]]*Table112345[[#This Row],[L(mm)]]*Table112345[[#This Row],[fc (Mpa)]])</f>
        <v>9.4004359338208474E-6</v>
      </c>
      <c r="R48" s="111">
        <f>Table112345[[#This Row],[M (KN.mm)]]/(Table112345[[#This Row],[b (mm)]]*Table112345[[#This Row],[h (mm)]]*Table112345[[#This Row],[L(mm)]]/2)</f>
        <v>1.2897398101202201E-3</v>
      </c>
      <c r="S48" s="111">
        <f>Table112345[[#This Row],[M (KN.mm)]]/(Table112345[[#This Row],[a (mm)]]*Table112345[[#This Row],[b (mm)]]*Table112345[[#This Row],[h (mm)]]*Table112345[[#This Row],[L(mm)]]/2)</f>
        <v>1.8512923049940717E-6</v>
      </c>
      <c r="T48" s="111">
        <f>G48/($AL$5*AH48*0.001*Table112345[[#This Row],[pho (%)]])</f>
        <v>3.5020057597470449E-6</v>
      </c>
      <c r="U48" s="111">
        <f>Table112345[[#This Row],[M (KN.mm)]]/(Table112345[[#This Row],[b (mm)]]*Table112345[[#This Row],[d (mm)]]*Table112345[[#This Row],[pho (%)]])</f>
        <v>0.93592681210415218</v>
      </c>
      <c r="V48" s="111">
        <f>E48*224.8/(2*SQRT(Table112345[[#This Row],[fc (Mpa)]]*145.037)*Table112345[[#This Row],[b (mm)]]*Table112345[[#This Row],[d (mm)]]*(1/25.4)^2)</f>
        <v>1.2306019737777154</v>
      </c>
      <c r="W48" s="111">
        <f>Table112345[[#This Row],[M (KN.mm)]]/$G$52</f>
        <v>0.68248992386923424</v>
      </c>
      <c r="X48" s="110">
        <f t="shared" si="17"/>
        <v>1.2306019737777154</v>
      </c>
      <c r="Y48" s="111">
        <f>2.99*Table112345[[#This Row],[d (mm)]]</f>
        <v>696.67000000000007</v>
      </c>
      <c r="Z48" s="160">
        <v>233</v>
      </c>
      <c r="AA48" s="160">
        <v>305</v>
      </c>
      <c r="AB48" s="160">
        <v>203</v>
      </c>
      <c r="AC48" s="160">
        <v>68.599999999999994</v>
      </c>
      <c r="AD48" s="160">
        <v>600</v>
      </c>
      <c r="AE48" s="160">
        <v>1.26</v>
      </c>
      <c r="AF48" s="160">
        <v>525</v>
      </c>
      <c r="AG48" s="111">
        <f>(1/3-0.21*(MIN(Table112345[[#This Row],[b (mm)]],AA48)/MAX(Table112345[[#This Row],[b (mm)]],AA48))*(MIN(Table112345[[#This Row],[b (mm)]],AA48)^4/(12*MAX(Table112345[[#This Row],[b (mm)]],AA48)^4)))*MAX(Table112345[[#This Row],[b (mm)]],AA48)*MIN(Table112345[[#This Row],[b (mm)]],AA48)^3</f>
        <v>844653219.61076438</v>
      </c>
      <c r="AH48" s="111">
        <f>Table112345[[#This Row],[b (mm)]]*AA48^3/12</f>
        <v>479970239.58333331</v>
      </c>
      <c r="AI48" s="160">
        <v>1397</v>
      </c>
      <c r="AK48" s="139"/>
      <c r="AL48" s="139"/>
      <c r="AM48" s="139"/>
      <c r="AN48" s="139"/>
      <c r="AO48" s="139"/>
      <c r="AP48" s="139"/>
      <c r="AQ48" s="1"/>
      <c r="AR48" s="1"/>
    </row>
    <row r="49" spans="1:44" x14ac:dyDescent="0.25">
      <c r="A49" s="156" t="s">
        <v>98</v>
      </c>
      <c r="B49" s="164">
        <v>7</v>
      </c>
      <c r="C49" s="111">
        <v>48</v>
      </c>
      <c r="D49" s="111">
        <f>Table112345[[#This Row],[a (mm)]]/Table112345[[#This Row],[d (mm)]]</f>
        <v>2.99</v>
      </c>
      <c r="E49" s="160">
        <v>88.960000000000008</v>
      </c>
      <c r="F49" s="137">
        <f>Table112345[[#This Row],[d (mm)]]</f>
        <v>233</v>
      </c>
      <c r="G49" s="111">
        <f t="shared" si="13"/>
        <v>61975.763200000009</v>
      </c>
      <c r="H49" s="111">
        <f t="shared" si="14"/>
        <v>4.9028080636458626E-6</v>
      </c>
      <c r="I49" s="111">
        <f>G49/(Table112345[[#This Row],[b (mm)]]*Z49^2)</f>
        <v>5.6235945791665793E-3</v>
      </c>
      <c r="J49" s="111">
        <f t="shared" si="15"/>
        <v>0.84441396825396842</v>
      </c>
      <c r="K49" s="111">
        <f t="shared" si="16"/>
        <v>3.3541824660466551E-6</v>
      </c>
      <c r="L49" s="111">
        <f>E49/(Table112345[[#This Row],[b (mm)]]*Z49)</f>
        <v>1.8808008625975181E-3</v>
      </c>
      <c r="M49" s="111">
        <f>Table112345[[#This Row],[M (KN.mm)]]/(Table112345[[#This Row],[b (mm)]]*Table112345[[#This Row],[d (mm)]])</f>
        <v>1.310297536945813</v>
      </c>
      <c r="N49" s="111">
        <f>Table112345[[#This Row],[M (KN.mm)]]/(Table112345[[#This Row],[b (mm)]]*Table112345[[#This Row],[h (mm)]])</f>
        <v>1.0009813970766375</v>
      </c>
      <c r="O49" s="111">
        <f>Table112345[[#This Row],[M (KN.mm)]]/(Table112345[[#This Row],[b (mm)]]*Table112345[[#This Row],[h (mm)]]*Table112345[[#This Row],[L(mm)]])</f>
        <v>7.1652211673345562E-4</v>
      </c>
      <c r="P49" s="111">
        <f>Table112345[[#This Row],[M (KN.mm)]]/(Table112345[[#This Row],[b (mm)]]*Table112345[[#This Row],[d (mm)]]*Table112345[[#This Row],[L(mm)]])</f>
        <v>9.3793667641074664E-4</v>
      </c>
      <c r="Q49" s="111">
        <f>Table112345[[#This Row],[M (KN.mm)]]/(Table112345[[#This Row],[b (mm)]]*Table112345[[#This Row],[h (mm)]]*Table112345[[#This Row],[L(mm)]]*Table112345[[#This Row],[fc (Mpa)]])</f>
        <v>1.0444928815356497E-5</v>
      </c>
      <c r="R49" s="111">
        <f>Table112345[[#This Row],[M (KN.mm)]]/(Table112345[[#This Row],[b (mm)]]*Table112345[[#This Row],[h (mm)]]*Table112345[[#This Row],[L(mm)]]/2)</f>
        <v>1.4330442334669112E-3</v>
      </c>
      <c r="S49" s="111">
        <f>Table112345[[#This Row],[M (KN.mm)]]/(Table112345[[#This Row],[a (mm)]]*Table112345[[#This Row],[b (mm)]]*Table112345[[#This Row],[h (mm)]]*Table112345[[#This Row],[L(mm)]]/2)</f>
        <v>2.0569914499934131E-6</v>
      </c>
      <c r="T49" s="111">
        <f>G49/($AL$5*AH49*0.001*Table112345[[#This Row],[pho (%)]])</f>
        <v>3.89111751083005E-6</v>
      </c>
      <c r="U49" s="111">
        <f>Table112345[[#This Row],[M (KN.mm)]]/(Table112345[[#This Row],[b (mm)]]*Table112345[[#This Row],[d (mm)]]*Table112345[[#This Row],[pho (%)]])</f>
        <v>1.0399186801157245</v>
      </c>
      <c r="V49" s="111">
        <f>E49*224.8/(2*SQRT(Table112345[[#This Row],[fc (Mpa)]]*145.037)*Table112345[[#This Row],[b (mm)]]*Table112345[[#This Row],[d (mm)]]*(1/25.4)^2)</f>
        <v>1.3673355264196838</v>
      </c>
      <c r="W49" s="111">
        <f>Table112345[[#This Row],[M (KN.mm)]]/$G$52</f>
        <v>0.75832213763248246</v>
      </c>
      <c r="X49" s="110">
        <f t="shared" si="17"/>
        <v>1.3673355264196838</v>
      </c>
      <c r="Y49" s="111">
        <f>2.99*Table112345[[#This Row],[d (mm)]]</f>
        <v>696.67000000000007</v>
      </c>
      <c r="Z49" s="160">
        <v>233</v>
      </c>
      <c r="AA49" s="160">
        <v>305</v>
      </c>
      <c r="AB49" s="160">
        <v>203</v>
      </c>
      <c r="AC49" s="160">
        <v>68.599999999999994</v>
      </c>
      <c r="AD49" s="160">
        <v>600</v>
      </c>
      <c r="AE49" s="160">
        <v>1.26</v>
      </c>
      <c r="AF49" s="160">
        <v>525</v>
      </c>
      <c r="AG49" s="111">
        <f>(1/3-0.21*(MIN(Table112345[[#This Row],[b (mm)]],AA49)/MAX(Table112345[[#This Row],[b (mm)]],AA49))*(MIN(Table112345[[#This Row],[b (mm)]],AA49)^4/(12*MAX(Table112345[[#This Row],[b (mm)]],AA49)^4)))*MAX(Table112345[[#This Row],[b (mm)]],AA49)*MIN(Table112345[[#This Row],[b (mm)]],AA49)^3</f>
        <v>844653219.61076438</v>
      </c>
      <c r="AH49" s="111">
        <f>Table112345[[#This Row],[b (mm)]]*AA49^3/12</f>
        <v>479970239.58333331</v>
      </c>
      <c r="AI49" s="160">
        <v>1397</v>
      </c>
      <c r="AK49" s="139"/>
      <c r="AL49" s="139"/>
      <c r="AM49" s="139"/>
      <c r="AN49" s="139"/>
      <c r="AO49" s="139"/>
      <c r="AP49" s="139"/>
      <c r="AQ49" s="1"/>
      <c r="AR49" s="1"/>
    </row>
    <row r="50" spans="1:44" x14ac:dyDescent="0.25">
      <c r="A50" s="156" t="s">
        <v>98</v>
      </c>
      <c r="B50" s="164">
        <v>8</v>
      </c>
      <c r="C50" s="111">
        <v>49</v>
      </c>
      <c r="D50" s="111">
        <f>Table112345[[#This Row],[a (mm)]]/Table112345[[#This Row],[d (mm)]]</f>
        <v>2.99</v>
      </c>
      <c r="E50" s="160">
        <v>97.856000000000009</v>
      </c>
      <c r="F50" s="137">
        <f>Table112345[[#This Row],[d (mm)]]</f>
        <v>233</v>
      </c>
      <c r="G50" s="111">
        <f t="shared" si="13"/>
        <v>68173.339520000009</v>
      </c>
      <c r="H50" s="111">
        <f t="shared" si="14"/>
        <v>5.3930888700104487E-6</v>
      </c>
      <c r="I50" s="111">
        <f>G50/(Table112345[[#This Row],[b (mm)]]*Z50^2)</f>
        <v>6.1859540370832371E-3</v>
      </c>
      <c r="J50" s="111">
        <f t="shared" si="15"/>
        <v>0.92885536507936517</v>
      </c>
      <c r="K50" s="111">
        <f t="shared" si="16"/>
        <v>3.6896007126513207E-6</v>
      </c>
      <c r="L50" s="111">
        <f>E50/(Table112345[[#This Row],[b (mm)]]*Z50)</f>
        <v>2.06888094885727E-3</v>
      </c>
      <c r="M50" s="111">
        <f>Table112345[[#This Row],[M (KN.mm)]]/(Table112345[[#This Row],[b (mm)]]*Table112345[[#This Row],[d (mm)]])</f>
        <v>1.4413272906403942</v>
      </c>
      <c r="N50" s="111">
        <f>Table112345[[#This Row],[M (KN.mm)]]/(Table112345[[#This Row],[b (mm)]]*Table112345[[#This Row],[h (mm)]])</f>
        <v>1.1010795367843011</v>
      </c>
      <c r="O50" s="111">
        <f>Table112345[[#This Row],[M (KN.mm)]]/(Table112345[[#This Row],[b (mm)]]*Table112345[[#This Row],[h (mm)]]*Table112345[[#This Row],[L(mm)]])</f>
        <v>7.8817432840680109E-4</v>
      </c>
      <c r="P50" s="111">
        <f>Table112345[[#This Row],[M (KN.mm)]]/(Table112345[[#This Row],[b (mm)]]*Table112345[[#This Row],[d (mm)]]*Table112345[[#This Row],[L(mm)]])</f>
        <v>1.0317303440518213E-3</v>
      </c>
      <c r="Q50" s="111">
        <f>Table112345[[#This Row],[M (KN.mm)]]/(Table112345[[#This Row],[b (mm)]]*Table112345[[#This Row],[h (mm)]]*Table112345[[#This Row],[L(mm)]]*Table112345[[#This Row],[fc (Mpa)]])</f>
        <v>1.1489421696892147E-5</v>
      </c>
      <c r="R50" s="111">
        <f>Table112345[[#This Row],[M (KN.mm)]]/(Table112345[[#This Row],[b (mm)]]*Table112345[[#This Row],[h (mm)]]*Table112345[[#This Row],[L(mm)]]/2)</f>
        <v>1.5763486568136022E-3</v>
      </c>
      <c r="S50" s="111">
        <f>Table112345[[#This Row],[M (KN.mm)]]/(Table112345[[#This Row],[a (mm)]]*Table112345[[#This Row],[b (mm)]]*Table112345[[#This Row],[h (mm)]]*Table112345[[#This Row],[L(mm)]]/2)</f>
        <v>2.2626905949927543E-6</v>
      </c>
      <c r="T50" s="111">
        <f>G50/($AL$5*AH50*0.001*Table112345[[#This Row],[pho (%)]])</f>
        <v>4.2802292619130544E-6</v>
      </c>
      <c r="U50" s="111">
        <f>Table112345[[#This Row],[M (KN.mm)]]/(Table112345[[#This Row],[b (mm)]]*Table112345[[#This Row],[d (mm)]]*Table112345[[#This Row],[pho (%)]])</f>
        <v>1.1439105481272971</v>
      </c>
      <c r="V50" s="111">
        <f>E50*224.8/(2*SQRT(Table112345[[#This Row],[fc (Mpa)]]*145.037)*Table112345[[#This Row],[b (mm)]]*Table112345[[#This Row],[d (mm)]]*(1/25.4)^2)</f>
        <v>1.5040690790616522</v>
      </c>
      <c r="W50" s="111">
        <f>Table112345[[#This Row],[M (KN.mm)]]/$G$52</f>
        <v>0.83415435139573069</v>
      </c>
      <c r="X50" s="110">
        <f t="shared" si="17"/>
        <v>1.5040690790616522</v>
      </c>
      <c r="Y50" s="111">
        <f>2.99*Table112345[[#This Row],[d (mm)]]</f>
        <v>696.67000000000007</v>
      </c>
      <c r="Z50" s="160">
        <v>233</v>
      </c>
      <c r="AA50" s="160">
        <v>305</v>
      </c>
      <c r="AB50" s="160">
        <v>203</v>
      </c>
      <c r="AC50" s="160">
        <v>68.599999999999994</v>
      </c>
      <c r="AD50" s="160">
        <v>600</v>
      </c>
      <c r="AE50" s="160">
        <v>1.26</v>
      </c>
      <c r="AF50" s="160">
        <v>525</v>
      </c>
      <c r="AG50" s="111">
        <f>(1/3-0.21*(MIN(Table112345[[#This Row],[b (mm)]],AA50)/MAX(Table112345[[#This Row],[b (mm)]],AA50))*(MIN(Table112345[[#This Row],[b (mm)]],AA50)^4/(12*MAX(Table112345[[#This Row],[b (mm)]],AA50)^4)))*MAX(Table112345[[#This Row],[b (mm)]],AA50)*MIN(Table112345[[#This Row],[b (mm)]],AA50)^3</f>
        <v>844653219.61076438</v>
      </c>
      <c r="AH50" s="111">
        <f>Table112345[[#This Row],[b (mm)]]*AA50^3/12</f>
        <v>479970239.58333331</v>
      </c>
      <c r="AI50" s="160">
        <v>1397</v>
      </c>
      <c r="AK50" s="139"/>
      <c r="AL50" s="139"/>
      <c r="AM50" s="139"/>
      <c r="AN50" s="139"/>
      <c r="AO50" s="139"/>
      <c r="AP50" s="139"/>
      <c r="AQ50" s="1"/>
      <c r="AR50" s="1"/>
    </row>
    <row r="51" spans="1:44" x14ac:dyDescent="0.25">
      <c r="A51" s="156" t="s">
        <v>98</v>
      </c>
      <c r="B51" s="164">
        <v>9</v>
      </c>
      <c r="C51" s="111">
        <v>50</v>
      </c>
      <c r="D51" s="111">
        <f>Table112345[[#This Row],[a (mm)]]/Table112345[[#This Row],[d (mm)]]</f>
        <v>2.99</v>
      </c>
      <c r="E51" s="160">
        <v>106.75200000000001</v>
      </c>
      <c r="F51" s="137">
        <f>Table112345[[#This Row],[d (mm)]]</f>
        <v>233</v>
      </c>
      <c r="G51" s="111">
        <f t="shared" si="13"/>
        <v>74370.915840000016</v>
      </c>
      <c r="H51" s="111">
        <f t="shared" si="14"/>
        <v>5.8833696763750357E-6</v>
      </c>
      <c r="I51" s="111">
        <f>G51/(Table112345[[#This Row],[b (mm)]]*Z51^2)</f>
        <v>6.7483134949998958E-3</v>
      </c>
      <c r="J51" s="111">
        <f t="shared" si="15"/>
        <v>1.0132967619047621</v>
      </c>
      <c r="K51" s="111">
        <f t="shared" si="16"/>
        <v>4.0250189592559863E-6</v>
      </c>
      <c r="L51" s="111">
        <f>E51/(Table112345[[#This Row],[b (mm)]]*Z51)</f>
        <v>2.2569610351170217E-3</v>
      </c>
      <c r="M51" s="111">
        <f>Table112345[[#This Row],[M (KN.mm)]]/(Table112345[[#This Row],[b (mm)]]*Table112345[[#This Row],[d (mm)]])</f>
        <v>1.5723570443349757</v>
      </c>
      <c r="N51" s="111">
        <f>Table112345[[#This Row],[M (KN.mm)]]/(Table112345[[#This Row],[b (mm)]]*Table112345[[#This Row],[h (mm)]])</f>
        <v>1.2011776764919651</v>
      </c>
      <c r="O51" s="111">
        <f>Table112345[[#This Row],[M (KN.mm)]]/(Table112345[[#This Row],[b (mm)]]*Table112345[[#This Row],[h (mm)]]*Table112345[[#This Row],[L(mm)]])</f>
        <v>8.5982654008014679E-4</v>
      </c>
      <c r="P51" s="111">
        <f>Table112345[[#This Row],[M (KN.mm)]]/(Table112345[[#This Row],[b (mm)]]*Table112345[[#This Row],[d (mm)]]*Table112345[[#This Row],[L(mm)]])</f>
        <v>1.1255240116928959E-3</v>
      </c>
      <c r="Q51" s="111">
        <f>Table112345[[#This Row],[M (KN.mm)]]/(Table112345[[#This Row],[b (mm)]]*Table112345[[#This Row],[h (mm)]]*Table112345[[#This Row],[L(mm)]]*Table112345[[#This Row],[fc (Mpa)]])</f>
        <v>1.2533914578427797E-5</v>
      </c>
      <c r="R51" s="111">
        <f>Table112345[[#This Row],[M (KN.mm)]]/(Table112345[[#This Row],[b (mm)]]*Table112345[[#This Row],[h (mm)]]*Table112345[[#This Row],[L(mm)]]/2)</f>
        <v>1.7196530801602936E-3</v>
      </c>
      <c r="S51" s="111">
        <f>Table112345[[#This Row],[M (KN.mm)]]/(Table112345[[#This Row],[a (mm)]]*Table112345[[#This Row],[b (mm)]]*Table112345[[#This Row],[h (mm)]]*Table112345[[#This Row],[L(mm)]]/2)</f>
        <v>2.4683897399920959E-6</v>
      </c>
      <c r="T51" s="111">
        <f>G51/($AL$5*AH51*0.001*Table112345[[#This Row],[pho (%)]])</f>
        <v>4.6693410129960604E-6</v>
      </c>
      <c r="U51" s="111">
        <f>Table112345[[#This Row],[M (KN.mm)]]/(Table112345[[#This Row],[b (mm)]]*Table112345[[#This Row],[d (mm)]]*Table112345[[#This Row],[pho (%)]])</f>
        <v>1.2479024161388697</v>
      </c>
      <c r="V51" s="111">
        <f>E51*224.8/(2*SQRT(Table112345[[#This Row],[fc (Mpa)]]*145.037)*Table112345[[#This Row],[b (mm)]]*Table112345[[#This Row],[d (mm)]]*(1/25.4)^2)</f>
        <v>1.6408026317036208</v>
      </c>
      <c r="W51" s="111">
        <f>Table112345[[#This Row],[M (KN.mm)]]/$G$52</f>
        <v>0.90998656515897902</v>
      </c>
      <c r="X51" s="110">
        <f t="shared" si="17"/>
        <v>1.6408026317036208</v>
      </c>
      <c r="Y51" s="111">
        <f>2.99*Table112345[[#This Row],[d (mm)]]</f>
        <v>696.67000000000007</v>
      </c>
      <c r="Z51" s="160">
        <v>233</v>
      </c>
      <c r="AA51" s="160">
        <v>305</v>
      </c>
      <c r="AB51" s="160">
        <v>203</v>
      </c>
      <c r="AC51" s="160">
        <v>68.599999999999994</v>
      </c>
      <c r="AD51" s="160">
        <v>600</v>
      </c>
      <c r="AE51" s="160">
        <v>1.26</v>
      </c>
      <c r="AF51" s="160">
        <v>525</v>
      </c>
      <c r="AG51" s="111">
        <f>(1/3-0.21*(MIN(Table112345[[#This Row],[b (mm)]],AA51)/MAX(Table112345[[#This Row],[b (mm)]],AA51))*(MIN(Table112345[[#This Row],[b (mm)]],AA51)^4/(12*MAX(Table112345[[#This Row],[b (mm)]],AA51)^4)))*MAX(Table112345[[#This Row],[b (mm)]],AA51)*MIN(Table112345[[#This Row],[b (mm)]],AA51)^3</f>
        <v>844653219.61076438</v>
      </c>
      <c r="AH51" s="111">
        <f>Table112345[[#This Row],[b (mm)]]*AA51^3/12</f>
        <v>479970239.58333331</v>
      </c>
      <c r="AI51" s="160">
        <v>1397</v>
      </c>
      <c r="AK51" s="139"/>
      <c r="AL51" s="139"/>
      <c r="AM51" s="139"/>
      <c r="AN51" s="139"/>
      <c r="AO51" s="139"/>
      <c r="AP51" s="139"/>
      <c r="AQ51" s="1"/>
      <c r="AR51" s="1"/>
    </row>
    <row r="52" spans="1:44" x14ac:dyDescent="0.25">
      <c r="A52" s="156" t="s">
        <v>98</v>
      </c>
      <c r="B52" s="164" t="s">
        <v>92</v>
      </c>
      <c r="C52" s="111">
        <v>51</v>
      </c>
      <c r="D52" s="111">
        <f>Table112345[[#This Row],[a (mm)]]/Table112345[[#This Row],[d (mm)]]</f>
        <v>2.99</v>
      </c>
      <c r="E52" s="166">
        <v>117.3116220472441</v>
      </c>
      <c r="F52" s="137">
        <f>Table112345[[#This Row],[d (mm)]]</f>
        <v>233</v>
      </c>
      <c r="G52" s="111">
        <f t="shared" si="13"/>
        <v>81727.487731653557</v>
      </c>
      <c r="H52" s="111">
        <f t="shared" si="14"/>
        <v>6.4653368540085896E-6</v>
      </c>
      <c r="I52" s="111">
        <f>G52/(Table112345[[#This Row],[b (mm)]]*Z52^2)</f>
        <v>7.415838599574196E-3</v>
      </c>
      <c r="J52" s="111">
        <f t="shared" si="15"/>
        <v>1.1135293648293965</v>
      </c>
      <c r="K52" s="111">
        <f t="shared" si="16"/>
        <v>4.4231630590642798E-6</v>
      </c>
      <c r="L52" s="111">
        <f>E52/(Table112345[[#This Row],[b (mm)]]*Z52)</f>
        <v>2.4802135784529082E-3</v>
      </c>
      <c r="M52" s="111">
        <f>Table112345[[#This Row],[M (KN.mm)]]/(Table112345[[#This Row],[b (mm)]]*Table112345[[#This Row],[d (mm)]])</f>
        <v>1.7278903937007877</v>
      </c>
      <c r="N52" s="111">
        <f>Table112345[[#This Row],[M (KN.mm)]]/(Table112345[[#This Row],[b (mm)]]*Table112345[[#This Row],[h (mm)]])</f>
        <v>1.3199949564992903</v>
      </c>
      <c r="O52" s="111">
        <f>Table112345[[#This Row],[M (KN.mm)]]/(Table112345[[#This Row],[b (mm)]]*Table112345[[#This Row],[h (mm)]]*Table112345[[#This Row],[L(mm)]])</f>
        <v>9.4487827952705104E-4</v>
      </c>
      <c r="P52" s="111">
        <f>Table112345[[#This Row],[M (KN.mm)]]/(Table112345[[#This Row],[b (mm)]]*Table112345[[#This Row],[d (mm)]]*Table112345[[#This Row],[L(mm)]])</f>
        <v>1.2368578337156675E-3</v>
      </c>
      <c r="Q52" s="111">
        <f>Table112345[[#This Row],[M (KN.mm)]]/(Table112345[[#This Row],[b (mm)]]*Table112345[[#This Row],[h (mm)]]*Table112345[[#This Row],[L(mm)]]*Table112345[[#This Row],[fc (Mpa)]])</f>
        <v>1.3773735853164011E-5</v>
      </c>
      <c r="R52" s="111">
        <f>Table112345[[#This Row],[M (KN.mm)]]/(Table112345[[#This Row],[b (mm)]]*Table112345[[#This Row],[h (mm)]]*Table112345[[#This Row],[L(mm)]]/2)</f>
        <v>1.8897565590541021E-3</v>
      </c>
      <c r="S52" s="111">
        <f>Table112345[[#This Row],[M (KN.mm)]]/(Table112345[[#This Row],[a (mm)]]*Table112345[[#This Row],[b (mm)]]*Table112345[[#This Row],[h (mm)]]*Table112345[[#This Row],[L(mm)]]/2)</f>
        <v>2.7125562447846208E-6</v>
      </c>
      <c r="T52" s="111">
        <f>G52/($AL$5*AH52*0.001*Table112345[[#This Row],[pho (%)]])</f>
        <v>5.1312197254036421E-6</v>
      </c>
      <c r="U52" s="111">
        <f>Table112345[[#This Row],[M (KN.mm)]]/(Table112345[[#This Row],[b (mm)]]*Table112345[[#This Row],[d (mm)]]*Table112345[[#This Row],[pho (%)]])</f>
        <v>1.3713415823022126</v>
      </c>
      <c r="V52" s="111">
        <f>E52*224.8/(2*SQRT(Table112345[[#This Row],[fc (Mpa)]]*145.037)*Table112345[[#This Row],[b (mm)]]*Table112345[[#This Row],[d (mm)]]*(1/25.4)^2)</f>
        <v>1.8031064353317838</v>
      </c>
      <c r="W52" s="111">
        <f>Table112345[[#This Row],[M (KN.mm)]]/$G$52</f>
        <v>1</v>
      </c>
      <c r="X52" s="110">
        <f t="shared" si="17"/>
        <v>1.8031064353317838</v>
      </c>
      <c r="Y52" s="111">
        <f>2.99*Table112345[[#This Row],[d (mm)]]</f>
        <v>696.67000000000007</v>
      </c>
      <c r="Z52" s="160">
        <v>233</v>
      </c>
      <c r="AA52" s="160">
        <v>305</v>
      </c>
      <c r="AB52" s="160">
        <v>203</v>
      </c>
      <c r="AC52" s="160">
        <v>68.599999999999994</v>
      </c>
      <c r="AD52" s="160">
        <v>600</v>
      </c>
      <c r="AE52" s="160">
        <v>1.26</v>
      </c>
      <c r="AF52" s="160">
        <v>525</v>
      </c>
      <c r="AG52" s="111">
        <f>(1/3-0.21*(MIN(Table112345[[#This Row],[b (mm)]],AA52)/MAX(Table112345[[#This Row],[b (mm)]],AA52))*(MIN(Table112345[[#This Row],[b (mm)]],AA52)^4/(12*MAX(Table112345[[#This Row],[b (mm)]],AA52)^4)))*MAX(Table112345[[#This Row],[b (mm)]],AA52)*MIN(Table112345[[#This Row],[b (mm)]],AA52)^3</f>
        <v>844653219.61076438</v>
      </c>
      <c r="AH52" s="111">
        <f>Table112345[[#This Row],[b (mm)]]*AA52^3/12</f>
        <v>479970239.58333331</v>
      </c>
      <c r="AI52" s="160">
        <v>1397</v>
      </c>
      <c r="AK52" s="139"/>
      <c r="AL52" s="139"/>
      <c r="AM52" s="139"/>
      <c r="AN52" s="139"/>
      <c r="AO52" s="139"/>
      <c r="AP52" s="139"/>
      <c r="AQ52" s="1"/>
      <c r="AR52" s="1"/>
    </row>
    <row r="53" spans="1:44" x14ac:dyDescent="0.25">
      <c r="A53" s="156" t="s">
        <v>98</v>
      </c>
      <c r="B53" s="164" t="s">
        <v>93</v>
      </c>
      <c r="C53" s="111">
        <v>52</v>
      </c>
      <c r="D53" s="111">
        <f>Table112345[[#This Row],[a (mm)]]/Table112345[[#This Row],[d (mm)]]</f>
        <v>2.99</v>
      </c>
      <c r="E53" s="166">
        <v>117.3116220472441</v>
      </c>
      <c r="F53" s="137">
        <f>Table112345[[#This Row],[d (mm)]]</f>
        <v>233</v>
      </c>
      <c r="G53" s="111">
        <f t="shared" si="13"/>
        <v>81727.487731653557</v>
      </c>
      <c r="H53" s="111">
        <f t="shared" si="14"/>
        <v>6.4653368540085896E-6</v>
      </c>
      <c r="I53" s="111">
        <f>G53/(Table112345[[#This Row],[b (mm)]]*Z53^2)</f>
        <v>7.415838599574196E-3</v>
      </c>
      <c r="J53" s="111">
        <f t="shared" si="15"/>
        <v>1.1135293648293965</v>
      </c>
      <c r="K53" s="111">
        <f t="shared" si="16"/>
        <v>4.4231630590642798E-6</v>
      </c>
      <c r="L53" s="111">
        <f>E53/(Table112345[[#This Row],[b (mm)]]*Z53)</f>
        <v>2.4802135784529082E-3</v>
      </c>
      <c r="M53" s="111">
        <f>Table112345[[#This Row],[M (KN.mm)]]/(Table112345[[#This Row],[b (mm)]]*Table112345[[#This Row],[d (mm)]])</f>
        <v>1.7278903937007877</v>
      </c>
      <c r="N53" s="111">
        <f>Table112345[[#This Row],[M (KN.mm)]]/(Table112345[[#This Row],[b (mm)]]*Table112345[[#This Row],[h (mm)]])</f>
        <v>1.3199949564992903</v>
      </c>
      <c r="O53" s="111">
        <f>Table112345[[#This Row],[M (KN.mm)]]/(Table112345[[#This Row],[b (mm)]]*Table112345[[#This Row],[h (mm)]]*Table112345[[#This Row],[L(mm)]])</f>
        <v>9.4487827952705104E-4</v>
      </c>
      <c r="P53" s="111">
        <f>Table112345[[#This Row],[M (KN.mm)]]/(Table112345[[#This Row],[b (mm)]]*Table112345[[#This Row],[d (mm)]]*Table112345[[#This Row],[L(mm)]])</f>
        <v>1.2368578337156675E-3</v>
      </c>
      <c r="Q53" s="111">
        <f>Table112345[[#This Row],[M (KN.mm)]]/(Table112345[[#This Row],[b (mm)]]*Table112345[[#This Row],[h (mm)]]*Table112345[[#This Row],[L(mm)]]*Table112345[[#This Row],[fc (Mpa)]])</f>
        <v>1.3773735853164011E-5</v>
      </c>
      <c r="R53" s="111">
        <f>Table112345[[#This Row],[M (KN.mm)]]/(Table112345[[#This Row],[b (mm)]]*Table112345[[#This Row],[h (mm)]]*Table112345[[#This Row],[L(mm)]]/2)</f>
        <v>1.8897565590541021E-3</v>
      </c>
      <c r="S53" s="111">
        <f>Table112345[[#This Row],[M (KN.mm)]]/(Table112345[[#This Row],[a (mm)]]*Table112345[[#This Row],[b (mm)]]*Table112345[[#This Row],[h (mm)]]*Table112345[[#This Row],[L(mm)]]/2)</f>
        <v>2.7125562447846208E-6</v>
      </c>
      <c r="T53" s="111">
        <f>G53/($AL$5*AH53*0.001*Table112345[[#This Row],[pho (%)]])</f>
        <v>5.1312197254036421E-6</v>
      </c>
      <c r="U53" s="111">
        <f>Table112345[[#This Row],[M (KN.mm)]]/(Table112345[[#This Row],[b (mm)]]*Table112345[[#This Row],[d (mm)]]*Table112345[[#This Row],[pho (%)]])</f>
        <v>1.3713415823022126</v>
      </c>
      <c r="V53" s="111">
        <f>E53*224.8/(2*SQRT(Table112345[[#This Row],[fc (Mpa)]]*145.037)*Table112345[[#This Row],[b (mm)]]*Table112345[[#This Row],[d (mm)]]*(1/25.4)^2)</f>
        <v>1.8031064353317838</v>
      </c>
      <c r="W53" s="111">
        <f>Table112345[[#This Row],[M (KN.mm)]]/$G$52</f>
        <v>1</v>
      </c>
      <c r="X53" s="110">
        <f t="shared" si="17"/>
        <v>1.8031064353317838</v>
      </c>
      <c r="Y53" s="111">
        <f>2.99*Table112345[[#This Row],[d (mm)]]</f>
        <v>696.67000000000007</v>
      </c>
      <c r="Z53" s="160">
        <v>233</v>
      </c>
      <c r="AA53" s="160">
        <v>305</v>
      </c>
      <c r="AB53" s="160">
        <v>203</v>
      </c>
      <c r="AC53" s="160">
        <v>68.599999999999994</v>
      </c>
      <c r="AD53" s="160">
        <v>600</v>
      </c>
      <c r="AE53" s="160">
        <v>1.26</v>
      </c>
      <c r="AF53" s="160">
        <v>525</v>
      </c>
      <c r="AG53" s="111">
        <f>(1/3-0.21*(MIN(Table112345[[#This Row],[b (mm)]],AA53)/MAX(Table112345[[#This Row],[b (mm)]],AA53))*(MIN(Table112345[[#This Row],[b (mm)]],AA53)^4/(12*MAX(Table112345[[#This Row],[b (mm)]],AA53)^4)))*MAX(Table112345[[#This Row],[b (mm)]],AA53)*MIN(Table112345[[#This Row],[b (mm)]],AA53)^3</f>
        <v>844653219.61076438</v>
      </c>
      <c r="AH53" s="111">
        <f>Table112345[[#This Row],[b (mm)]]*AA53^3/12</f>
        <v>479970239.58333331</v>
      </c>
      <c r="AI53" s="160">
        <v>1397</v>
      </c>
      <c r="AK53" s="139"/>
      <c r="AL53" s="139"/>
      <c r="AM53" s="139"/>
      <c r="AN53" s="139"/>
      <c r="AO53" s="139"/>
      <c r="AP53" s="139"/>
      <c r="AQ53" s="1"/>
      <c r="AR53" s="1"/>
    </row>
    <row r="54" spans="1:44" x14ac:dyDescent="0.25">
      <c r="A54" s="157" t="s">
        <v>99</v>
      </c>
      <c r="B54" s="146">
        <v>1</v>
      </c>
      <c r="C54" s="111">
        <v>53</v>
      </c>
      <c r="D54" s="111">
        <f>Table112345[[#This Row],[a (mm)]]/Table112345[[#This Row],[d (mm)]]</f>
        <v>2.99</v>
      </c>
      <c r="E54" s="111">
        <v>111.20000000000002</v>
      </c>
      <c r="F54" s="137">
        <f>Table112345[[#This Row],[d (mm)]]</f>
        <v>529</v>
      </c>
      <c r="G54" s="135">
        <f t="shared" ref="G54:G63" si="18">E54*Y54</f>
        <v>175886.15200000003</v>
      </c>
      <c r="H54" s="135">
        <f t="shared" ref="H54:H63" si="19">G54/($AL$5*AH54*0.001)</f>
        <v>8.7393535844931482E-7</v>
      </c>
      <c r="I54" s="135">
        <f>G54/(Table112345[[#This Row],[b (mm)]]*Z54^2)</f>
        <v>1.5404944586530267E-3</v>
      </c>
      <c r="J54" s="135">
        <f t="shared" ref="J54:J63" si="20">G54/(AD54*AF54*Z54*0.001)</f>
        <v>0.24537407058910357</v>
      </c>
      <c r="K54" s="135">
        <f t="shared" ref="K54:K63" si="21">E54/($AL$4*AG54*0.001)</f>
        <v>2.5913499490045556E-7</v>
      </c>
      <c r="L54" s="135">
        <f>E54/(Table112345[[#This Row],[b (mm)]]*Z54)</f>
        <v>5.1521553801104573E-4</v>
      </c>
      <c r="M54" s="135">
        <f>Table112345[[#This Row],[M (KN.mm)]]/(Table112345[[#This Row],[b (mm)]]*Table112345[[#This Row],[d (mm)]])</f>
        <v>0.81492156862745113</v>
      </c>
      <c r="N54" s="135">
        <f>Table112345[[#This Row],[M (KN.mm)]]/(Table112345[[#This Row],[b (mm)]]*Table112345[[#This Row],[h (mm)]])</f>
        <v>0.70903537796697635</v>
      </c>
      <c r="O54" s="144">
        <f>Table112345[[#This Row],[M (KN.mm)]]/(Table112345[[#This Row],[b (mm)]]*Table112345[[#This Row],[h (mm)]]*Table112345[[#This Row],[L(mm)]])</f>
        <v>2.2423636241839859E-4</v>
      </c>
      <c r="P54" s="144">
        <f>Table112345[[#This Row],[M (KN.mm)]]/(Table112345[[#This Row],[b (mm)]]*Table112345[[#This Row],[d (mm)]]*Table112345[[#This Row],[L(mm)]])</f>
        <v>2.5772345623891558E-4</v>
      </c>
      <c r="Q54" s="144">
        <f>Table112345[[#This Row],[M (KN.mm)]]/(Table112345[[#This Row],[b (mm)]]*Table112345[[#This Row],[h (mm)]]*Table112345[[#This Row],[L(mm)]]*Table112345[[#This Row],[fc (Mpa)]])</f>
        <v>3.4604376916419535E-6</v>
      </c>
      <c r="R54" s="144">
        <f>Table112345[[#This Row],[M (KN.mm)]]/(Table112345[[#This Row],[b (mm)]]*Table112345[[#This Row],[h (mm)]]*Table112345[[#This Row],[L(mm)]]/2)</f>
        <v>4.4847272483679719E-4</v>
      </c>
      <c r="S54" s="144">
        <f>Table112345[[#This Row],[M (KN.mm)]]/(Table112345[[#This Row],[a (mm)]]*Table112345[[#This Row],[b (mm)]]*Table112345[[#This Row],[h (mm)]]*Table112345[[#This Row],[L(mm)]]/2)</f>
        <v>2.8353663113769094E-7</v>
      </c>
      <c r="T54" s="111">
        <f>G54/($AL$5*AH54*0.001*Table112345[[#This Row],[pho (%)]])</f>
        <v>7.2827946537442903E-7</v>
      </c>
      <c r="U54" s="144">
        <f>Table112345[[#This Row],[M (KN.mm)]]/(Table112345[[#This Row],[b (mm)]]*Table112345[[#This Row],[d (mm)]]*Table112345[[#This Row],[pho (%)]])</f>
        <v>0.67910130718954265</v>
      </c>
      <c r="V54" s="111">
        <f>E54*224.8/(2*SQRT(Table112345[[#This Row],[fc (Mpa)]]*145.037)*Table112345[[#This Row],[b (mm)]]*Table112345[[#This Row],[d (mm)]]*(1/25.4)^2)</f>
        <v>0.38538587197425755</v>
      </c>
      <c r="W54" s="111">
        <f>Table112345[[#This Row],[M (KN.mm)]]/$G$62</f>
        <v>0.36194710442316463</v>
      </c>
      <c r="X54" s="110">
        <f t="shared" si="17"/>
        <v>0.38538587197425755</v>
      </c>
      <c r="Y54" s="111">
        <f>2.99*Table112345[[#This Row],[d (mm)]]</f>
        <v>1581.71</v>
      </c>
      <c r="Z54" s="160">
        <v>529</v>
      </c>
      <c r="AA54" s="160">
        <v>608</v>
      </c>
      <c r="AB54" s="160">
        <v>408</v>
      </c>
      <c r="AC54" s="160">
        <v>64.8</v>
      </c>
      <c r="AD54" s="160">
        <v>2581</v>
      </c>
      <c r="AE54" s="160">
        <v>1.2</v>
      </c>
      <c r="AF54" s="160">
        <v>525</v>
      </c>
      <c r="AG54" s="111">
        <f>(1/3-0.21*(MIN(Table112345[[#This Row],[b (mm)]],AA54)/MAX(Table112345[[#This Row],[b (mm)]],AA54))*(MIN(Table112345[[#This Row],[b (mm)]],AA54)^4/(12*MAX(Table112345[[#This Row],[b (mm)]],AA54)^4)))*MAX(Table112345[[#This Row],[b (mm)]],AA54)*MIN(Table112345[[#This Row],[b (mm)]],AA54)^3</f>
        <v>13666240930.700037</v>
      </c>
      <c r="AH54" s="111">
        <f>Table112345[[#This Row],[b (mm)]]*AA54^3/12</f>
        <v>7641694208</v>
      </c>
      <c r="AI54" s="160">
        <v>3162</v>
      </c>
      <c r="AK54" s="126"/>
      <c r="AL54" s="139"/>
      <c r="AM54" s="139"/>
      <c r="AN54" s="105"/>
      <c r="AO54" s="105"/>
      <c r="AP54" s="105"/>
    </row>
    <row r="55" spans="1:44" x14ac:dyDescent="0.25">
      <c r="A55" s="157" t="s">
        <v>99</v>
      </c>
      <c r="B55" s="146">
        <v>2</v>
      </c>
      <c r="C55" s="111">
        <v>54</v>
      </c>
      <c r="D55" s="111">
        <f>Table112345[[#This Row],[a (mm)]]/Table112345[[#This Row],[d (mm)]]</f>
        <v>2.99</v>
      </c>
      <c r="E55" s="111">
        <v>133.44</v>
      </c>
      <c r="F55" s="137">
        <f>Table112345[[#This Row],[d (mm)]]</f>
        <v>529</v>
      </c>
      <c r="G55" s="135">
        <f t="shared" si="18"/>
        <v>211063.3824</v>
      </c>
      <c r="H55" s="135">
        <f t="shared" si="19"/>
        <v>1.0487224301391777E-6</v>
      </c>
      <c r="I55" s="135">
        <f>G55/(Table112345[[#This Row],[b (mm)]]*Z55^2)</f>
        <v>1.8485933503836318E-3</v>
      </c>
      <c r="J55" s="135">
        <f t="shared" si="20"/>
        <v>0.29444888470692426</v>
      </c>
      <c r="K55" s="135">
        <f t="shared" si="21"/>
        <v>3.109619938805466E-7</v>
      </c>
      <c r="L55" s="135">
        <f>E55/(Table112345[[#This Row],[b (mm)]]*Z55)</f>
        <v>6.182586456132547E-4</v>
      </c>
      <c r="M55" s="135">
        <f>Table112345[[#This Row],[M (KN.mm)]]/(Table112345[[#This Row],[b (mm)]]*Table112345[[#This Row],[d (mm)]])</f>
        <v>0.97790588235294118</v>
      </c>
      <c r="N55" s="135">
        <f>Table112345[[#This Row],[M (KN.mm)]]/(Table112345[[#This Row],[b (mm)]]*Table112345[[#This Row],[h (mm)]])</f>
        <v>0.85084245356037158</v>
      </c>
      <c r="O55" s="145">
        <f>Table112345[[#This Row],[M (KN.mm)]]/(Table112345[[#This Row],[b (mm)]]*Table112345[[#This Row],[h (mm)]]*Table112345[[#This Row],[L(mm)]])</f>
        <v>2.6908363490207827E-4</v>
      </c>
      <c r="P55" s="145">
        <f>Table112345[[#This Row],[M (KN.mm)]]/(Table112345[[#This Row],[b (mm)]]*Table112345[[#This Row],[d (mm)]]*Table112345[[#This Row],[L(mm)]])</f>
        <v>3.0926814748669866E-4</v>
      </c>
      <c r="Q55" s="145">
        <f>Table112345[[#This Row],[M (KN.mm)]]/(Table112345[[#This Row],[b (mm)]]*Table112345[[#This Row],[h (mm)]]*Table112345[[#This Row],[L(mm)]]*Table112345[[#This Row],[fc (Mpa)]])</f>
        <v>4.1525252299703436E-6</v>
      </c>
      <c r="R55" s="145">
        <f>Table112345[[#This Row],[M (KN.mm)]]/(Table112345[[#This Row],[b (mm)]]*Table112345[[#This Row],[h (mm)]]*Table112345[[#This Row],[L(mm)]]/2)</f>
        <v>5.3816726980415654E-4</v>
      </c>
      <c r="S55" s="145">
        <f>Table112345[[#This Row],[M (KN.mm)]]/(Table112345[[#This Row],[a (mm)]]*Table112345[[#This Row],[b (mm)]]*Table112345[[#This Row],[h (mm)]]*Table112345[[#This Row],[L(mm)]]/2)</f>
        <v>3.4024395736522905E-7</v>
      </c>
      <c r="T55" s="111">
        <f>G55/($AL$5*AH55*0.001*Table112345[[#This Row],[pho (%)]])</f>
        <v>8.7393535844931471E-7</v>
      </c>
      <c r="U55" s="145">
        <f>Table112345[[#This Row],[M (KN.mm)]]/(Table112345[[#This Row],[b (mm)]]*Table112345[[#This Row],[d (mm)]]*Table112345[[#This Row],[pho (%)]])</f>
        <v>0.81492156862745102</v>
      </c>
      <c r="V55" s="111">
        <f>E55*224.8/(2*SQRT(Table112345[[#This Row],[fc (Mpa)]]*145.037)*Table112345[[#This Row],[b (mm)]]*Table112345[[#This Row],[d (mm)]]*(1/25.4)^2)</f>
        <v>0.46246304636910895</v>
      </c>
      <c r="W55" s="111">
        <f>Table112345[[#This Row],[M (KN.mm)]]/$G$62</f>
        <v>0.43433652530779748</v>
      </c>
      <c r="X55" s="110">
        <f t="shared" si="17"/>
        <v>0.46246304636910895</v>
      </c>
      <c r="Y55" s="111">
        <f>2.99*Table112345[[#This Row],[d (mm)]]</f>
        <v>1581.71</v>
      </c>
      <c r="Z55" s="160">
        <v>529</v>
      </c>
      <c r="AA55" s="160">
        <v>608</v>
      </c>
      <c r="AB55" s="160">
        <v>408</v>
      </c>
      <c r="AC55" s="160">
        <v>64.8</v>
      </c>
      <c r="AD55" s="160">
        <v>2581</v>
      </c>
      <c r="AE55" s="160">
        <v>1.2</v>
      </c>
      <c r="AF55" s="160">
        <v>525</v>
      </c>
      <c r="AG55" s="111">
        <f>(1/3-0.21*(MIN(Table112345[[#This Row],[b (mm)]],AA55)/MAX(Table112345[[#This Row],[b (mm)]],AA55))*(MIN(Table112345[[#This Row],[b (mm)]],AA55)^4/(12*MAX(Table112345[[#This Row],[b (mm)]],AA55)^4)))*MAX(Table112345[[#This Row],[b (mm)]],AA55)*MIN(Table112345[[#This Row],[b (mm)]],AA55)^3</f>
        <v>13666240930.700037</v>
      </c>
      <c r="AH55" s="111">
        <f>Table112345[[#This Row],[b (mm)]]*AA55^3/12</f>
        <v>7641694208</v>
      </c>
      <c r="AI55" s="160">
        <v>3162</v>
      </c>
      <c r="AK55" s="126"/>
      <c r="AL55" s="139"/>
      <c r="AM55" s="139"/>
      <c r="AN55" s="105"/>
      <c r="AO55" s="105"/>
      <c r="AP55" s="105"/>
    </row>
    <row r="56" spans="1:44" x14ac:dyDescent="0.25">
      <c r="A56" s="157" t="s">
        <v>99</v>
      </c>
      <c r="B56" s="146">
        <v>3</v>
      </c>
      <c r="C56" s="111">
        <v>55</v>
      </c>
      <c r="D56" s="111">
        <f>Table112345[[#This Row],[a (mm)]]/Table112345[[#This Row],[d (mm)]]</f>
        <v>2.99</v>
      </c>
      <c r="E56" s="111">
        <v>155.68</v>
      </c>
      <c r="F56" s="137">
        <f>Table112345[[#This Row],[d (mm)]]</f>
        <v>529</v>
      </c>
      <c r="G56" s="135">
        <f t="shared" si="18"/>
        <v>246240.6128</v>
      </c>
      <c r="H56" s="135">
        <f t="shared" si="19"/>
        <v>1.2235095018290406E-6</v>
      </c>
      <c r="I56" s="135">
        <f>G56/(Table112345[[#This Row],[b (mm)]]*Z56^2)</f>
        <v>2.1566922421142371E-3</v>
      </c>
      <c r="J56" s="135">
        <f t="shared" si="20"/>
        <v>0.34352369882474493</v>
      </c>
      <c r="K56" s="135">
        <f t="shared" si="21"/>
        <v>3.6278899286063776E-7</v>
      </c>
      <c r="L56" s="135">
        <f>E56/(Table112345[[#This Row],[b (mm)]]*Z56)</f>
        <v>7.2130175321546389E-4</v>
      </c>
      <c r="M56" s="135">
        <f>Table112345[[#This Row],[M (KN.mm)]]/(Table112345[[#This Row],[b (mm)]]*Table112345[[#This Row],[d (mm)]])</f>
        <v>1.1408901960784315</v>
      </c>
      <c r="N56" s="135">
        <f>Table112345[[#This Row],[M (KN.mm)]]/(Table112345[[#This Row],[b (mm)]]*Table112345[[#This Row],[h (mm)]])</f>
        <v>0.99264952915376681</v>
      </c>
      <c r="O56" s="145">
        <f>Table112345[[#This Row],[M (KN.mm)]]/(Table112345[[#This Row],[b (mm)]]*Table112345[[#This Row],[h (mm)]]*Table112345[[#This Row],[L(mm)]])</f>
        <v>3.1393090738575797E-4</v>
      </c>
      <c r="P56" s="145">
        <f>Table112345[[#This Row],[M (KN.mm)]]/(Table112345[[#This Row],[b (mm)]]*Table112345[[#This Row],[d (mm)]]*Table112345[[#This Row],[L(mm)]])</f>
        <v>3.6081283873448178E-4</v>
      </c>
      <c r="Q56" s="145">
        <f>Table112345[[#This Row],[M (KN.mm)]]/(Table112345[[#This Row],[b (mm)]]*Table112345[[#This Row],[h (mm)]]*Table112345[[#This Row],[L(mm)]]*Table112345[[#This Row],[fc (Mpa)]])</f>
        <v>4.844612768298734E-6</v>
      </c>
      <c r="R56" s="145">
        <f>Table112345[[#This Row],[M (KN.mm)]]/(Table112345[[#This Row],[b (mm)]]*Table112345[[#This Row],[h (mm)]]*Table112345[[#This Row],[L(mm)]]/2)</f>
        <v>6.2786181477151595E-4</v>
      </c>
      <c r="S56" s="145">
        <f>Table112345[[#This Row],[M (KN.mm)]]/(Table112345[[#This Row],[a (mm)]]*Table112345[[#This Row],[b (mm)]]*Table112345[[#This Row],[h (mm)]]*Table112345[[#This Row],[L(mm)]]/2)</f>
        <v>3.9695128359276722E-7</v>
      </c>
      <c r="T56" s="111">
        <f>G56/($AL$5*AH56*0.001*Table112345[[#This Row],[pho (%)]])</f>
        <v>1.0195912515242006E-6</v>
      </c>
      <c r="U56" s="145">
        <f>Table112345[[#This Row],[M (KN.mm)]]/(Table112345[[#This Row],[b (mm)]]*Table112345[[#This Row],[d (mm)]]*Table112345[[#This Row],[pho (%)]])</f>
        <v>0.95074183006535951</v>
      </c>
      <c r="V56" s="111">
        <f>E56*224.8/(2*SQRT(Table112345[[#This Row],[fc (Mpa)]]*145.037)*Table112345[[#This Row],[b (mm)]]*Table112345[[#This Row],[d (mm)]]*(1/25.4)^2)</f>
        <v>0.53954022076396047</v>
      </c>
      <c r="W56" s="111">
        <f>Table112345[[#This Row],[M (KN.mm)]]/$G$62</f>
        <v>0.50672594619243039</v>
      </c>
      <c r="X56" s="110">
        <f t="shared" si="17"/>
        <v>0.53954022076396047</v>
      </c>
      <c r="Y56" s="111">
        <f>2.99*Table112345[[#This Row],[d (mm)]]</f>
        <v>1581.71</v>
      </c>
      <c r="Z56" s="160">
        <v>529</v>
      </c>
      <c r="AA56" s="160">
        <v>608</v>
      </c>
      <c r="AB56" s="160">
        <v>408</v>
      </c>
      <c r="AC56" s="160">
        <v>64.8</v>
      </c>
      <c r="AD56" s="160">
        <v>2581</v>
      </c>
      <c r="AE56" s="160">
        <v>1.2</v>
      </c>
      <c r="AF56" s="160">
        <v>525</v>
      </c>
      <c r="AG56" s="111">
        <f>(1/3-0.21*(MIN(Table112345[[#This Row],[b (mm)]],AA56)/MAX(Table112345[[#This Row],[b (mm)]],AA56))*(MIN(Table112345[[#This Row],[b (mm)]],AA56)^4/(12*MAX(Table112345[[#This Row],[b (mm)]],AA56)^4)))*MAX(Table112345[[#This Row],[b (mm)]],AA56)*MIN(Table112345[[#This Row],[b (mm)]],AA56)^3</f>
        <v>13666240930.700037</v>
      </c>
      <c r="AH56" s="111">
        <f>Table112345[[#This Row],[b (mm)]]*AA56^3/12</f>
        <v>7641694208</v>
      </c>
      <c r="AI56" s="160">
        <v>3162</v>
      </c>
      <c r="AK56" s="126"/>
      <c r="AL56" s="139"/>
      <c r="AM56" s="139"/>
      <c r="AN56" s="105"/>
      <c r="AO56" s="105"/>
      <c r="AP56" s="105"/>
    </row>
    <row r="57" spans="1:44" x14ac:dyDescent="0.25">
      <c r="A57" s="157" t="s">
        <v>99</v>
      </c>
      <c r="B57" s="146">
        <v>4</v>
      </c>
      <c r="C57" s="111">
        <v>56</v>
      </c>
      <c r="D57" s="111">
        <f>Table112345[[#This Row],[a (mm)]]/Table112345[[#This Row],[d (mm)]]</f>
        <v>2.99</v>
      </c>
      <c r="E57" s="111">
        <v>177.92000000000002</v>
      </c>
      <c r="F57" s="137">
        <f>Table112345[[#This Row],[d (mm)]]</f>
        <v>529</v>
      </c>
      <c r="G57" s="135">
        <f t="shared" si="18"/>
        <v>281417.8432</v>
      </c>
      <c r="H57" s="135">
        <f t="shared" si="19"/>
        <v>1.3982965735189036E-6</v>
      </c>
      <c r="I57" s="135">
        <f>G57/(Table112345[[#This Row],[b (mm)]]*Z57^2)</f>
        <v>2.4647911338448424E-3</v>
      </c>
      <c r="J57" s="135">
        <f t="shared" si="20"/>
        <v>0.39259851294256565</v>
      </c>
      <c r="K57" s="135">
        <f t="shared" si="21"/>
        <v>4.1461599184072886E-7</v>
      </c>
      <c r="L57" s="135">
        <f>E57/(Table112345[[#This Row],[b (mm)]]*Z57)</f>
        <v>8.2434486081767308E-4</v>
      </c>
      <c r="M57" s="135">
        <f>Table112345[[#This Row],[M (KN.mm)]]/(Table112345[[#This Row],[b (mm)]]*Table112345[[#This Row],[d (mm)]])</f>
        <v>1.3038745098039215</v>
      </c>
      <c r="N57" s="135">
        <f>Table112345[[#This Row],[M (KN.mm)]]/(Table112345[[#This Row],[b (mm)]]*Table112345[[#This Row],[h (mm)]])</f>
        <v>1.134456604747162</v>
      </c>
      <c r="O57" s="145">
        <f>Table112345[[#This Row],[M (KN.mm)]]/(Table112345[[#This Row],[b (mm)]]*Table112345[[#This Row],[h (mm)]]*Table112345[[#This Row],[L(mm)]])</f>
        <v>3.5877817986943773E-4</v>
      </c>
      <c r="P57" s="145">
        <f>Table112345[[#This Row],[M (KN.mm)]]/(Table112345[[#This Row],[b (mm)]]*Table112345[[#This Row],[d (mm)]]*Table112345[[#This Row],[L(mm)]])</f>
        <v>4.1235752998226491E-4</v>
      </c>
      <c r="Q57" s="145">
        <f>Table112345[[#This Row],[M (KN.mm)]]/(Table112345[[#This Row],[b (mm)]]*Table112345[[#This Row],[h (mm)]]*Table112345[[#This Row],[L(mm)]]*Table112345[[#This Row],[fc (Mpa)]])</f>
        <v>5.5367003066271253E-6</v>
      </c>
      <c r="R57" s="145">
        <f>Table112345[[#This Row],[M (KN.mm)]]/(Table112345[[#This Row],[b (mm)]]*Table112345[[#This Row],[h (mm)]]*Table112345[[#This Row],[L(mm)]]/2)</f>
        <v>7.1755635973887546E-4</v>
      </c>
      <c r="S57" s="145">
        <f>Table112345[[#This Row],[M (KN.mm)]]/(Table112345[[#This Row],[a (mm)]]*Table112345[[#This Row],[b (mm)]]*Table112345[[#This Row],[h (mm)]]*Table112345[[#This Row],[L(mm)]]/2)</f>
        <v>4.5365860982030539E-7</v>
      </c>
      <c r="T57" s="111">
        <f>G57/($AL$5*AH57*0.001*Table112345[[#This Row],[pho (%)]])</f>
        <v>1.1652471445990863E-6</v>
      </c>
      <c r="U57" s="145">
        <f>Table112345[[#This Row],[M (KN.mm)]]/(Table112345[[#This Row],[b (mm)]]*Table112345[[#This Row],[d (mm)]]*Table112345[[#This Row],[pho (%)]])</f>
        <v>1.0865620915032681</v>
      </c>
      <c r="V57" s="111">
        <f>E57*224.8/(2*SQRT(Table112345[[#This Row],[fc (Mpa)]]*145.037)*Table112345[[#This Row],[b (mm)]]*Table112345[[#This Row],[d (mm)]]*(1/25.4)^2)</f>
        <v>0.61661739515881198</v>
      </c>
      <c r="W57" s="111">
        <f>Table112345[[#This Row],[M (KN.mm)]]/$G$62</f>
        <v>0.57911536707706335</v>
      </c>
      <c r="X57" s="110">
        <f t="shared" si="17"/>
        <v>0.61661739515881198</v>
      </c>
      <c r="Y57" s="111">
        <f>2.99*Table112345[[#This Row],[d (mm)]]</f>
        <v>1581.71</v>
      </c>
      <c r="Z57" s="160">
        <v>529</v>
      </c>
      <c r="AA57" s="160">
        <v>608</v>
      </c>
      <c r="AB57" s="160">
        <v>408</v>
      </c>
      <c r="AC57" s="160">
        <v>64.8</v>
      </c>
      <c r="AD57" s="160">
        <v>2581</v>
      </c>
      <c r="AE57" s="160">
        <v>1.2</v>
      </c>
      <c r="AF57" s="160">
        <v>525</v>
      </c>
      <c r="AG57" s="111">
        <f>(1/3-0.21*(MIN(Table112345[[#This Row],[b (mm)]],AA57)/MAX(Table112345[[#This Row],[b (mm)]],AA57))*(MIN(Table112345[[#This Row],[b (mm)]],AA57)^4/(12*MAX(Table112345[[#This Row],[b (mm)]],AA57)^4)))*MAX(Table112345[[#This Row],[b (mm)]],AA57)*MIN(Table112345[[#This Row],[b (mm)]],AA57)^3</f>
        <v>13666240930.700037</v>
      </c>
      <c r="AH57" s="111">
        <f>Table112345[[#This Row],[b (mm)]]*AA57^3/12</f>
        <v>7641694208</v>
      </c>
      <c r="AI57" s="160">
        <v>3162</v>
      </c>
      <c r="AK57" s="126"/>
    </row>
    <row r="58" spans="1:44" x14ac:dyDescent="0.25">
      <c r="A58" s="157" t="s">
        <v>99</v>
      </c>
      <c r="B58" s="146">
        <v>5</v>
      </c>
      <c r="C58" s="111">
        <v>57</v>
      </c>
      <c r="D58" s="111">
        <f>Table112345[[#This Row],[a (mm)]]/Table112345[[#This Row],[d (mm)]]</f>
        <v>2.99</v>
      </c>
      <c r="E58" s="111">
        <v>200.16000000000003</v>
      </c>
      <c r="F58" s="137">
        <f>Table112345[[#This Row],[d (mm)]]</f>
        <v>529</v>
      </c>
      <c r="G58" s="135">
        <f t="shared" si="18"/>
        <v>316595.07360000006</v>
      </c>
      <c r="H58" s="135">
        <f t="shared" si="19"/>
        <v>1.5730836452087668E-6</v>
      </c>
      <c r="I58" s="135">
        <f>G58/(Table112345[[#This Row],[b (mm)]]*Z58^2)</f>
        <v>2.7728900255754481E-3</v>
      </c>
      <c r="J58" s="135">
        <f t="shared" si="20"/>
        <v>0.44167332706038642</v>
      </c>
      <c r="K58" s="135">
        <f t="shared" si="21"/>
        <v>4.6644299082081996E-7</v>
      </c>
      <c r="L58" s="135">
        <f>E58/(Table112345[[#This Row],[b (mm)]]*Z58)</f>
        <v>9.2738796841988227E-4</v>
      </c>
      <c r="M58" s="135">
        <f>Table112345[[#This Row],[M (KN.mm)]]/(Table112345[[#This Row],[b (mm)]]*Table112345[[#This Row],[d (mm)]])</f>
        <v>1.466858823529412</v>
      </c>
      <c r="N58" s="135">
        <f>Table112345[[#This Row],[M (KN.mm)]]/(Table112345[[#This Row],[b (mm)]]*Table112345[[#This Row],[h (mm)]])</f>
        <v>1.2762636803405576</v>
      </c>
      <c r="O58" s="145">
        <f>Table112345[[#This Row],[M (KN.mm)]]/(Table112345[[#This Row],[b (mm)]]*Table112345[[#This Row],[h (mm)]]*Table112345[[#This Row],[L(mm)]])</f>
        <v>4.0362545235311749E-4</v>
      </c>
      <c r="P58" s="145">
        <f>Table112345[[#This Row],[M (KN.mm)]]/(Table112345[[#This Row],[b (mm)]]*Table112345[[#This Row],[d (mm)]]*Table112345[[#This Row],[L(mm)]])</f>
        <v>4.6390222123004809E-4</v>
      </c>
      <c r="Q58" s="145">
        <f>Table112345[[#This Row],[M (KN.mm)]]/(Table112345[[#This Row],[b (mm)]]*Table112345[[#This Row],[h (mm)]]*Table112345[[#This Row],[L(mm)]]*Table112345[[#This Row],[fc (Mpa)]])</f>
        <v>6.2287878449555166E-6</v>
      </c>
      <c r="R58" s="145">
        <f>Table112345[[#This Row],[M (KN.mm)]]/(Table112345[[#This Row],[b (mm)]]*Table112345[[#This Row],[h (mm)]]*Table112345[[#This Row],[L(mm)]]/2)</f>
        <v>8.0725090470623497E-4</v>
      </c>
      <c r="S58" s="145">
        <f>Table112345[[#This Row],[M (KN.mm)]]/(Table112345[[#This Row],[a (mm)]]*Table112345[[#This Row],[b (mm)]]*Table112345[[#This Row],[h (mm)]]*Table112345[[#This Row],[L(mm)]]/2)</f>
        <v>5.1036593604784371E-7</v>
      </c>
      <c r="T58" s="111">
        <f>G58/($AL$5*AH58*0.001*Table112345[[#This Row],[pho (%)]])</f>
        <v>1.3109030376739724E-6</v>
      </c>
      <c r="U58" s="145">
        <f>Table112345[[#This Row],[M (KN.mm)]]/(Table112345[[#This Row],[b (mm)]]*Table112345[[#This Row],[d (mm)]]*Table112345[[#This Row],[pho (%)]])</f>
        <v>1.2223823529411768</v>
      </c>
      <c r="V58" s="111">
        <f>E58*224.8/(2*SQRT(Table112345[[#This Row],[fc (Mpa)]]*145.037)*Table112345[[#This Row],[b (mm)]]*Table112345[[#This Row],[d (mm)]]*(1/25.4)^2)</f>
        <v>0.69369456955366349</v>
      </c>
      <c r="W58" s="111">
        <f>Table112345[[#This Row],[M (KN.mm)]]/$G$62</f>
        <v>0.65150478796169631</v>
      </c>
      <c r="X58" s="110">
        <f t="shared" si="17"/>
        <v>0.69369456955366349</v>
      </c>
      <c r="Y58" s="111">
        <f>2.99*Table112345[[#This Row],[d (mm)]]</f>
        <v>1581.71</v>
      </c>
      <c r="Z58" s="160">
        <v>529</v>
      </c>
      <c r="AA58" s="160">
        <v>608</v>
      </c>
      <c r="AB58" s="160">
        <v>408</v>
      </c>
      <c r="AC58" s="160">
        <v>64.8</v>
      </c>
      <c r="AD58" s="160">
        <v>2581</v>
      </c>
      <c r="AE58" s="160">
        <v>1.2</v>
      </c>
      <c r="AF58" s="160">
        <v>525</v>
      </c>
      <c r="AG58" s="111">
        <f>(1/3-0.21*(MIN(Table112345[[#This Row],[b (mm)]],AA58)/MAX(Table112345[[#This Row],[b (mm)]],AA58))*(MIN(Table112345[[#This Row],[b (mm)]],AA58)^4/(12*MAX(Table112345[[#This Row],[b (mm)]],AA58)^4)))*MAX(Table112345[[#This Row],[b (mm)]],AA58)*MIN(Table112345[[#This Row],[b (mm)]],AA58)^3</f>
        <v>13666240930.700037</v>
      </c>
      <c r="AH58" s="111">
        <f>Table112345[[#This Row],[b (mm)]]*AA58^3/12</f>
        <v>7641694208</v>
      </c>
      <c r="AI58" s="160">
        <v>3162</v>
      </c>
      <c r="AK58" s="126"/>
    </row>
    <row r="59" spans="1:44" x14ac:dyDescent="0.25">
      <c r="A59" s="157" t="s">
        <v>99</v>
      </c>
      <c r="B59" s="146">
        <v>6</v>
      </c>
      <c r="C59" s="111">
        <v>58</v>
      </c>
      <c r="D59" s="111">
        <f>Table112345[[#This Row],[a (mm)]]/Table112345[[#This Row],[d (mm)]]</f>
        <v>2.99</v>
      </c>
      <c r="E59" s="111">
        <v>222.40000000000003</v>
      </c>
      <c r="F59" s="137">
        <f>Table112345[[#This Row],[d (mm)]]</f>
        <v>529</v>
      </c>
      <c r="G59" s="135">
        <f t="shared" si="18"/>
        <v>351772.30400000006</v>
      </c>
      <c r="H59" s="135">
        <f t="shared" si="19"/>
        <v>1.7478707168986296E-6</v>
      </c>
      <c r="I59" s="135">
        <f>G59/(Table112345[[#This Row],[b (mm)]]*Z59^2)</f>
        <v>3.0809889173060534E-3</v>
      </c>
      <c r="J59" s="135">
        <f t="shared" si="20"/>
        <v>0.49074814117820714</v>
      </c>
      <c r="K59" s="135">
        <f t="shared" si="21"/>
        <v>5.1826998980091111E-7</v>
      </c>
      <c r="L59" s="135">
        <f>E59/(Table112345[[#This Row],[b (mm)]]*Z59)</f>
        <v>1.0304310760220915E-3</v>
      </c>
      <c r="M59" s="135">
        <f>Table112345[[#This Row],[M (KN.mm)]]/(Table112345[[#This Row],[b (mm)]]*Table112345[[#This Row],[d (mm)]])</f>
        <v>1.6298431372549023</v>
      </c>
      <c r="N59" s="135">
        <f>Table112345[[#This Row],[M (KN.mm)]]/(Table112345[[#This Row],[b (mm)]]*Table112345[[#This Row],[h (mm)]])</f>
        <v>1.4180707559339527</v>
      </c>
      <c r="O59" s="145">
        <f>Table112345[[#This Row],[M (KN.mm)]]/(Table112345[[#This Row],[b (mm)]]*Table112345[[#This Row],[h (mm)]]*Table112345[[#This Row],[L(mm)]])</f>
        <v>4.4847272483679719E-4</v>
      </c>
      <c r="P59" s="145">
        <f>Table112345[[#This Row],[M (KN.mm)]]/(Table112345[[#This Row],[b (mm)]]*Table112345[[#This Row],[d (mm)]]*Table112345[[#This Row],[L(mm)]])</f>
        <v>5.1544691247783117E-4</v>
      </c>
      <c r="Q59" s="145">
        <f>Table112345[[#This Row],[M (KN.mm)]]/(Table112345[[#This Row],[b (mm)]]*Table112345[[#This Row],[h (mm)]]*Table112345[[#This Row],[L(mm)]]*Table112345[[#This Row],[fc (Mpa)]])</f>
        <v>6.9208753832839071E-6</v>
      </c>
      <c r="R59" s="145">
        <f>Table112345[[#This Row],[M (KN.mm)]]/(Table112345[[#This Row],[b (mm)]]*Table112345[[#This Row],[h (mm)]]*Table112345[[#This Row],[L(mm)]]/2)</f>
        <v>8.9694544967359438E-4</v>
      </c>
      <c r="S59" s="145">
        <f>Table112345[[#This Row],[M (KN.mm)]]/(Table112345[[#This Row],[a (mm)]]*Table112345[[#This Row],[b (mm)]]*Table112345[[#This Row],[h (mm)]]*Table112345[[#This Row],[L(mm)]]/2)</f>
        <v>5.6707326227538188E-7</v>
      </c>
      <c r="T59" s="111">
        <f>G59/($AL$5*AH59*0.001*Table112345[[#This Row],[pho (%)]])</f>
        <v>1.4565589307488581E-6</v>
      </c>
      <c r="U59" s="145">
        <f>Table112345[[#This Row],[M (KN.mm)]]/(Table112345[[#This Row],[b (mm)]]*Table112345[[#This Row],[d (mm)]]*Table112345[[#This Row],[pho (%)]])</f>
        <v>1.3582026143790853</v>
      </c>
      <c r="V59" s="111">
        <f>E59*224.8/(2*SQRT(Table112345[[#This Row],[fc (Mpa)]]*145.037)*Table112345[[#This Row],[b (mm)]]*Table112345[[#This Row],[d (mm)]]*(1/25.4)^2)</f>
        <v>0.77077174394851511</v>
      </c>
      <c r="W59" s="111">
        <f>Table112345[[#This Row],[M (KN.mm)]]/$G$62</f>
        <v>0.72389420884632927</v>
      </c>
      <c r="X59" s="110">
        <f t="shared" si="17"/>
        <v>0.77077174394851511</v>
      </c>
      <c r="Y59" s="111">
        <f>2.99*Table112345[[#This Row],[d (mm)]]</f>
        <v>1581.71</v>
      </c>
      <c r="Z59" s="160">
        <v>529</v>
      </c>
      <c r="AA59" s="160">
        <v>608</v>
      </c>
      <c r="AB59" s="160">
        <v>408</v>
      </c>
      <c r="AC59" s="160">
        <v>64.8</v>
      </c>
      <c r="AD59" s="160">
        <v>2581</v>
      </c>
      <c r="AE59" s="160">
        <v>1.2</v>
      </c>
      <c r="AF59" s="160">
        <v>525</v>
      </c>
      <c r="AG59" s="111">
        <f>(1/3-0.21*(MIN(Table112345[[#This Row],[b (mm)]],AA59)/MAX(Table112345[[#This Row],[b (mm)]],AA59))*(MIN(Table112345[[#This Row],[b (mm)]],AA59)^4/(12*MAX(Table112345[[#This Row],[b (mm)]],AA59)^4)))*MAX(Table112345[[#This Row],[b (mm)]],AA59)*MIN(Table112345[[#This Row],[b (mm)]],AA59)^3</f>
        <v>13666240930.700037</v>
      </c>
      <c r="AH59" s="111">
        <f>Table112345[[#This Row],[b (mm)]]*AA59^3/12</f>
        <v>7641694208</v>
      </c>
      <c r="AI59" s="160">
        <v>3162</v>
      </c>
      <c r="AK59" s="126"/>
    </row>
    <row r="60" spans="1:44" x14ac:dyDescent="0.25">
      <c r="A60" s="157" t="s">
        <v>99</v>
      </c>
      <c r="B60" s="146">
        <v>7</v>
      </c>
      <c r="C60" s="111">
        <v>59</v>
      </c>
      <c r="D60" s="111">
        <f>Table112345[[#This Row],[a (mm)]]/Table112345[[#This Row],[d (mm)]]</f>
        <v>2.99</v>
      </c>
      <c r="E60" s="111">
        <v>244.64000000000001</v>
      </c>
      <c r="F60" s="137">
        <f>Table112345[[#This Row],[d (mm)]]</f>
        <v>529</v>
      </c>
      <c r="G60" s="135">
        <f t="shared" si="18"/>
        <v>386949.5344</v>
      </c>
      <c r="H60" s="135">
        <f t="shared" si="19"/>
        <v>1.9226577885884922E-6</v>
      </c>
      <c r="I60" s="135">
        <f>G60/(Table112345[[#This Row],[b (mm)]]*Z60^2)</f>
        <v>3.3890878090366582E-3</v>
      </c>
      <c r="J60" s="135">
        <f t="shared" si="20"/>
        <v>0.53982295529602775</v>
      </c>
      <c r="K60" s="135">
        <f t="shared" si="21"/>
        <v>5.7009698878100221E-7</v>
      </c>
      <c r="L60" s="135">
        <f>E60/(Table112345[[#This Row],[b (mm)]]*Z60)</f>
        <v>1.1334741836243004E-3</v>
      </c>
      <c r="M60" s="135">
        <f>Table112345[[#This Row],[M (KN.mm)]]/(Table112345[[#This Row],[b (mm)]]*Table112345[[#This Row],[d (mm)]])</f>
        <v>1.7928274509803921</v>
      </c>
      <c r="N60" s="135">
        <f>Table112345[[#This Row],[M (KN.mm)]]/(Table112345[[#This Row],[b (mm)]]*Table112345[[#This Row],[h (mm)]])</f>
        <v>1.5598778315273478</v>
      </c>
      <c r="O60" s="145">
        <f>Table112345[[#This Row],[M (KN.mm)]]/(Table112345[[#This Row],[b (mm)]]*Table112345[[#This Row],[h (mm)]]*Table112345[[#This Row],[L(mm)]])</f>
        <v>4.9331999732047684E-4</v>
      </c>
      <c r="P60" s="145">
        <f>Table112345[[#This Row],[M (KN.mm)]]/(Table112345[[#This Row],[b (mm)]]*Table112345[[#This Row],[d (mm)]]*Table112345[[#This Row],[L(mm)]])</f>
        <v>5.6699160372561419E-4</v>
      </c>
      <c r="Q60" s="145">
        <f>Table112345[[#This Row],[M (KN.mm)]]/(Table112345[[#This Row],[b (mm)]]*Table112345[[#This Row],[h (mm)]]*Table112345[[#This Row],[L(mm)]]*Table112345[[#This Row],[fc (Mpa)]])</f>
        <v>7.6129629216122967E-6</v>
      </c>
      <c r="R60" s="145">
        <f>Table112345[[#This Row],[M (KN.mm)]]/(Table112345[[#This Row],[b (mm)]]*Table112345[[#This Row],[h (mm)]]*Table112345[[#This Row],[L(mm)]]/2)</f>
        <v>9.8663999464095368E-4</v>
      </c>
      <c r="S60" s="145">
        <f>Table112345[[#This Row],[M (KN.mm)]]/(Table112345[[#This Row],[a (mm)]]*Table112345[[#This Row],[b (mm)]]*Table112345[[#This Row],[h (mm)]]*Table112345[[#This Row],[L(mm)]]/2)</f>
        <v>6.2378058850291994E-7</v>
      </c>
      <c r="T60" s="111">
        <f>G60/($AL$5*AH60*0.001*Table112345[[#This Row],[pho (%)]])</f>
        <v>1.6022148238237437E-6</v>
      </c>
      <c r="U60" s="145">
        <f>Table112345[[#This Row],[M (KN.mm)]]/(Table112345[[#This Row],[b (mm)]]*Table112345[[#This Row],[d (mm)]]*Table112345[[#This Row],[pho (%)]])</f>
        <v>1.4940228758169936</v>
      </c>
      <c r="V60" s="111">
        <f>E60*224.8/(2*SQRT(Table112345[[#This Row],[fc (Mpa)]]*145.037)*Table112345[[#This Row],[b (mm)]]*Table112345[[#This Row],[d (mm)]]*(1/25.4)^2)</f>
        <v>0.84784891834336651</v>
      </c>
      <c r="W60" s="111">
        <f>Table112345[[#This Row],[M (KN.mm)]]/$G$62</f>
        <v>0.79628362973096201</v>
      </c>
      <c r="X60" s="110">
        <f t="shared" si="17"/>
        <v>0.84784891834336651</v>
      </c>
      <c r="Y60" s="111">
        <f>2.99*Table112345[[#This Row],[d (mm)]]</f>
        <v>1581.71</v>
      </c>
      <c r="Z60" s="160">
        <v>529</v>
      </c>
      <c r="AA60" s="160">
        <v>608</v>
      </c>
      <c r="AB60" s="160">
        <v>408</v>
      </c>
      <c r="AC60" s="160">
        <v>64.8</v>
      </c>
      <c r="AD60" s="160">
        <v>2581</v>
      </c>
      <c r="AE60" s="160">
        <v>1.2</v>
      </c>
      <c r="AF60" s="160">
        <v>525</v>
      </c>
      <c r="AG60" s="111">
        <f>(1/3-0.21*(MIN(Table112345[[#This Row],[b (mm)]],AA60)/MAX(Table112345[[#This Row],[b (mm)]],AA60))*(MIN(Table112345[[#This Row],[b (mm)]],AA60)^4/(12*MAX(Table112345[[#This Row],[b (mm)]],AA60)^4)))*MAX(Table112345[[#This Row],[b (mm)]],AA60)*MIN(Table112345[[#This Row],[b (mm)]],AA60)^3</f>
        <v>13666240930.700037</v>
      </c>
      <c r="AH60" s="111">
        <f>Table112345[[#This Row],[b (mm)]]*AA60^3/12</f>
        <v>7641694208</v>
      </c>
      <c r="AI60" s="160">
        <v>3162</v>
      </c>
      <c r="AK60" s="126"/>
    </row>
    <row r="61" spans="1:44" x14ac:dyDescent="0.25">
      <c r="A61" s="157" t="s">
        <v>99</v>
      </c>
      <c r="B61" s="146">
        <v>8</v>
      </c>
      <c r="C61" s="111">
        <v>60</v>
      </c>
      <c r="D61" s="111">
        <f>Table112345[[#This Row],[a (mm)]]/Table112345[[#This Row],[d (mm)]]</f>
        <v>2.99</v>
      </c>
      <c r="E61" s="111">
        <v>266.88</v>
      </c>
      <c r="F61" s="137">
        <f>Table112345[[#This Row],[d (mm)]]</f>
        <v>529</v>
      </c>
      <c r="G61" s="135">
        <f t="shared" si="18"/>
        <v>422126.7648</v>
      </c>
      <c r="H61" s="135">
        <f t="shared" si="19"/>
        <v>2.0974448602783555E-6</v>
      </c>
      <c r="I61" s="135">
        <f>G61/(Table112345[[#This Row],[b (mm)]]*Z61^2)</f>
        <v>3.6971867007672635E-3</v>
      </c>
      <c r="J61" s="135">
        <f t="shared" si="20"/>
        <v>0.58889776941384853</v>
      </c>
      <c r="K61" s="135">
        <f t="shared" si="21"/>
        <v>6.2192398776109321E-7</v>
      </c>
      <c r="L61" s="135">
        <f>E61/(Table112345[[#This Row],[b (mm)]]*Z61)</f>
        <v>1.2365172912265094E-3</v>
      </c>
      <c r="M61" s="135">
        <f>Table112345[[#This Row],[M (KN.mm)]]/(Table112345[[#This Row],[b (mm)]]*Table112345[[#This Row],[d (mm)]])</f>
        <v>1.9558117647058824</v>
      </c>
      <c r="N61" s="135">
        <f>Table112345[[#This Row],[M (KN.mm)]]/(Table112345[[#This Row],[b (mm)]]*Table112345[[#This Row],[h (mm)]])</f>
        <v>1.7016849071207432</v>
      </c>
      <c r="O61" s="145">
        <f>Table112345[[#This Row],[M (KN.mm)]]/(Table112345[[#This Row],[b (mm)]]*Table112345[[#This Row],[h (mm)]]*Table112345[[#This Row],[L(mm)]])</f>
        <v>5.3816726980415654E-4</v>
      </c>
      <c r="P61" s="145">
        <f>Table112345[[#This Row],[M (KN.mm)]]/(Table112345[[#This Row],[b (mm)]]*Table112345[[#This Row],[d (mm)]]*Table112345[[#This Row],[L(mm)]])</f>
        <v>6.1853629497339731E-4</v>
      </c>
      <c r="Q61" s="145">
        <f>Table112345[[#This Row],[M (KN.mm)]]/(Table112345[[#This Row],[b (mm)]]*Table112345[[#This Row],[h (mm)]]*Table112345[[#This Row],[L(mm)]]*Table112345[[#This Row],[fc (Mpa)]])</f>
        <v>8.3050504599406871E-6</v>
      </c>
      <c r="R61" s="145">
        <f>Table112345[[#This Row],[M (KN.mm)]]/(Table112345[[#This Row],[b (mm)]]*Table112345[[#This Row],[h (mm)]]*Table112345[[#This Row],[L(mm)]]/2)</f>
        <v>1.0763345396083131E-3</v>
      </c>
      <c r="S61" s="145">
        <f>Table112345[[#This Row],[M (KN.mm)]]/(Table112345[[#This Row],[a (mm)]]*Table112345[[#This Row],[b (mm)]]*Table112345[[#This Row],[h (mm)]]*Table112345[[#This Row],[L(mm)]]/2)</f>
        <v>6.8048791473045811E-7</v>
      </c>
      <c r="T61" s="111">
        <f>G61/($AL$5*AH61*0.001*Table112345[[#This Row],[pho (%)]])</f>
        <v>1.7478707168986294E-6</v>
      </c>
      <c r="U61" s="145">
        <f>Table112345[[#This Row],[M (KN.mm)]]/(Table112345[[#This Row],[b (mm)]]*Table112345[[#This Row],[d (mm)]]*Table112345[[#This Row],[pho (%)]])</f>
        <v>1.629843137254902</v>
      </c>
      <c r="V61" s="111">
        <f>E61*224.8/(2*SQRT(Table112345[[#This Row],[fc (Mpa)]]*145.037)*Table112345[[#This Row],[b (mm)]]*Table112345[[#This Row],[d (mm)]]*(1/25.4)^2)</f>
        <v>0.92492609273821791</v>
      </c>
      <c r="W61" s="111">
        <f>Table112345[[#This Row],[M (KN.mm)]]/$G$62</f>
        <v>0.86867305061559497</v>
      </c>
      <c r="X61" s="110">
        <f t="shared" si="17"/>
        <v>0.92492609273821791</v>
      </c>
      <c r="Y61" s="111">
        <f>2.99*Table112345[[#This Row],[d (mm)]]</f>
        <v>1581.71</v>
      </c>
      <c r="Z61" s="160">
        <v>529</v>
      </c>
      <c r="AA61" s="160">
        <v>608</v>
      </c>
      <c r="AB61" s="160">
        <v>408</v>
      </c>
      <c r="AC61" s="160">
        <v>64.8</v>
      </c>
      <c r="AD61" s="160">
        <v>2581</v>
      </c>
      <c r="AE61" s="160">
        <v>1.2</v>
      </c>
      <c r="AF61" s="160">
        <v>525</v>
      </c>
      <c r="AG61" s="111">
        <f>(1/3-0.21*(MIN(Table112345[[#This Row],[b (mm)]],AA61)/MAX(Table112345[[#This Row],[b (mm)]],AA61))*(MIN(Table112345[[#This Row],[b (mm)]],AA61)^4/(12*MAX(Table112345[[#This Row],[b (mm)]],AA61)^4)))*MAX(Table112345[[#This Row],[b (mm)]],AA61)*MIN(Table112345[[#This Row],[b (mm)]],AA61)^3</f>
        <v>13666240930.700037</v>
      </c>
      <c r="AH61" s="111">
        <f>Table112345[[#This Row],[b (mm)]]*AA61^3/12</f>
        <v>7641694208</v>
      </c>
      <c r="AI61" s="160">
        <v>3162</v>
      </c>
      <c r="AK61" s="126"/>
    </row>
    <row r="62" spans="1:44" x14ac:dyDescent="0.25">
      <c r="A62" s="157" t="s">
        <v>99</v>
      </c>
      <c r="B62" s="146" t="s">
        <v>92</v>
      </c>
      <c r="C62" s="111">
        <v>61</v>
      </c>
      <c r="D62" s="111">
        <f>Table112345[[#This Row],[a (mm)]]/Table112345[[#This Row],[d (mm)]]</f>
        <v>2.99</v>
      </c>
      <c r="E62" s="166">
        <v>307.22721259842524</v>
      </c>
      <c r="F62" s="137">
        <f>Table112345[[#This Row],[d (mm)]]</f>
        <v>529</v>
      </c>
      <c r="G62" s="135">
        <f t="shared" si="18"/>
        <v>485944.3544390552</v>
      </c>
      <c r="H62" s="135">
        <f t="shared" si="19"/>
        <v>2.414538886399178E-6</v>
      </c>
      <c r="I62" s="135">
        <f>G62/(Table112345[[#This Row],[b (mm)]]*Z62^2)</f>
        <v>4.2561314618281415E-3</v>
      </c>
      <c r="J62" s="135">
        <f t="shared" si="20"/>
        <v>0.67792798337247762</v>
      </c>
      <c r="K62" s="135">
        <f t="shared" si="21"/>
        <v>7.1594714181631372E-7</v>
      </c>
      <c r="L62" s="135">
        <f>E62/(Table112345[[#This Row],[b (mm)]]*Z62)</f>
        <v>1.4234553384040608E-3</v>
      </c>
      <c r="M62" s="135">
        <f>Table112345[[#This Row],[M (KN.mm)]]/(Table112345[[#This Row],[b (mm)]]*Table112345[[#This Row],[d (mm)]])</f>
        <v>2.2514935433070868</v>
      </c>
      <c r="N62" s="135">
        <f>Table112345[[#This Row],[M (KN.mm)]]/(Table112345[[#This Row],[b (mm)]]*Table112345[[#This Row],[h (mm)]])</f>
        <v>1.9589475072523832</v>
      </c>
      <c r="O62" s="145">
        <f>Table112345[[#This Row],[M (KN.mm)]]/(Table112345[[#This Row],[b (mm)]]*Table112345[[#This Row],[h (mm)]]*Table112345[[#This Row],[L(mm)]])</f>
        <v>6.1952799090840712E-4</v>
      </c>
      <c r="P62" s="145">
        <f>Table112345[[#This Row],[M (KN.mm)]]/(Table112345[[#This Row],[b (mm)]]*Table112345[[#This Row],[d (mm)]]*Table112345[[#This Row],[L(mm)]])</f>
        <v>7.1204729389850953E-4</v>
      </c>
      <c r="Q62" s="145">
        <f>Table112345[[#This Row],[M (KN.mm)]]/(Table112345[[#This Row],[b (mm)]]*Table112345[[#This Row],[h (mm)]]*Table112345[[#This Row],[L(mm)]]*Table112345[[#This Row],[fc (Mpa)]])</f>
        <v>9.5606171436482576E-6</v>
      </c>
      <c r="R62" s="145">
        <f>Table112345[[#This Row],[M (KN.mm)]]/(Table112345[[#This Row],[b (mm)]]*Table112345[[#This Row],[h (mm)]]*Table112345[[#This Row],[L(mm)]]/2)</f>
        <v>1.2390559818168142E-3</v>
      </c>
      <c r="S62" s="145">
        <f>Table112345[[#This Row],[M (KN.mm)]]/(Table112345[[#This Row],[a (mm)]]*Table112345[[#This Row],[b (mm)]]*Table112345[[#This Row],[h (mm)]]*Table112345[[#This Row],[L(mm)]]/2)</f>
        <v>7.8336482782356683E-7</v>
      </c>
      <c r="T62" s="111">
        <f>G62/($AL$5*AH62*0.001*Table112345[[#This Row],[pho (%)]])</f>
        <v>2.0121157386659817E-6</v>
      </c>
      <c r="U62" s="145">
        <f>Table112345[[#This Row],[M (KN.mm)]]/(Table112345[[#This Row],[b (mm)]]*Table112345[[#This Row],[d (mm)]]*Table112345[[#This Row],[pho (%)]])</f>
        <v>1.8762446194225726</v>
      </c>
      <c r="V62" s="111">
        <f>E62*224.8/(2*SQRT(Table112345[[#This Row],[fc (Mpa)]]*145.037)*Table112345[[#This Row],[b (mm)]]*Table112345[[#This Row],[d (mm)]]*(1/25.4)^2)</f>
        <v>1.0647574390419488</v>
      </c>
      <c r="W62" s="111">
        <f>Table112345[[#This Row],[M (KN.mm)]]/$G$62</f>
        <v>1</v>
      </c>
      <c r="X62" s="110">
        <f t="shared" si="17"/>
        <v>1.0647574390419488</v>
      </c>
      <c r="Y62" s="111">
        <f>2.99*Table112345[[#This Row],[d (mm)]]</f>
        <v>1581.71</v>
      </c>
      <c r="Z62" s="160">
        <v>529</v>
      </c>
      <c r="AA62" s="160">
        <v>608</v>
      </c>
      <c r="AB62" s="160">
        <v>408</v>
      </c>
      <c r="AC62" s="160">
        <v>64.8</v>
      </c>
      <c r="AD62" s="160">
        <v>2581</v>
      </c>
      <c r="AE62" s="160">
        <v>1.2</v>
      </c>
      <c r="AF62" s="160">
        <v>525</v>
      </c>
      <c r="AG62" s="111">
        <f>(1/3-0.21*(MIN(Table112345[[#This Row],[b (mm)]],AA62)/MAX(Table112345[[#This Row],[b (mm)]],AA62))*(MIN(Table112345[[#This Row],[b (mm)]],AA62)^4/(12*MAX(Table112345[[#This Row],[b (mm)]],AA62)^4)))*MAX(Table112345[[#This Row],[b (mm)]],AA62)*MIN(Table112345[[#This Row],[b (mm)]],AA62)^3</f>
        <v>13666240930.700037</v>
      </c>
      <c r="AH62" s="111">
        <f>Table112345[[#This Row],[b (mm)]]*AA62^3/12</f>
        <v>7641694208</v>
      </c>
      <c r="AI62" s="160">
        <v>3162</v>
      </c>
      <c r="AK62" s="126"/>
    </row>
    <row r="63" spans="1:44" x14ac:dyDescent="0.25">
      <c r="A63" s="157" t="s">
        <v>99</v>
      </c>
      <c r="B63" s="146" t="s">
        <v>93</v>
      </c>
      <c r="C63" s="111">
        <v>62</v>
      </c>
      <c r="D63" s="111">
        <f>Table112345[[#This Row],[a (mm)]]/Table112345[[#This Row],[d (mm)]]</f>
        <v>2.99</v>
      </c>
      <c r="E63" s="166">
        <v>307.22721259842524</v>
      </c>
      <c r="F63" s="137">
        <f>Table112345[[#This Row],[d (mm)]]</f>
        <v>529</v>
      </c>
      <c r="G63" s="135">
        <f t="shared" si="18"/>
        <v>485944.3544390552</v>
      </c>
      <c r="H63" s="135">
        <f t="shared" si="19"/>
        <v>2.414538886399178E-6</v>
      </c>
      <c r="I63" s="135">
        <f>G63/(Table112345[[#This Row],[b (mm)]]*Z63^2)</f>
        <v>4.2561314618281415E-3</v>
      </c>
      <c r="J63" s="135">
        <f t="shared" si="20"/>
        <v>0.67792798337247762</v>
      </c>
      <c r="K63" s="135">
        <f t="shared" si="21"/>
        <v>7.1594714181631372E-7</v>
      </c>
      <c r="L63" s="135">
        <f>E63/(Table112345[[#This Row],[b (mm)]]*Z63)</f>
        <v>1.4234553384040608E-3</v>
      </c>
      <c r="M63" s="135">
        <f>Table112345[[#This Row],[M (KN.mm)]]/(Table112345[[#This Row],[b (mm)]]*Table112345[[#This Row],[d (mm)]])</f>
        <v>2.2514935433070868</v>
      </c>
      <c r="N63" s="135">
        <f>Table112345[[#This Row],[M (KN.mm)]]/(Table112345[[#This Row],[b (mm)]]*Table112345[[#This Row],[h (mm)]])</f>
        <v>1.9589475072523832</v>
      </c>
      <c r="O63" s="145">
        <f>Table112345[[#This Row],[M (KN.mm)]]/(Table112345[[#This Row],[b (mm)]]*Table112345[[#This Row],[h (mm)]]*Table112345[[#This Row],[L(mm)]])</f>
        <v>6.1952799090840712E-4</v>
      </c>
      <c r="P63" s="145">
        <f>Table112345[[#This Row],[M (KN.mm)]]/(Table112345[[#This Row],[b (mm)]]*Table112345[[#This Row],[d (mm)]]*Table112345[[#This Row],[L(mm)]])</f>
        <v>7.1204729389850953E-4</v>
      </c>
      <c r="Q63" s="145">
        <f>Table112345[[#This Row],[M (KN.mm)]]/(Table112345[[#This Row],[b (mm)]]*Table112345[[#This Row],[h (mm)]]*Table112345[[#This Row],[L(mm)]]*Table112345[[#This Row],[fc (Mpa)]])</f>
        <v>9.5606171436482576E-6</v>
      </c>
      <c r="R63" s="145">
        <f>Table112345[[#This Row],[M (KN.mm)]]/(Table112345[[#This Row],[b (mm)]]*Table112345[[#This Row],[h (mm)]]*Table112345[[#This Row],[L(mm)]]/2)</f>
        <v>1.2390559818168142E-3</v>
      </c>
      <c r="S63" s="145">
        <f>Table112345[[#This Row],[M (KN.mm)]]/(Table112345[[#This Row],[a (mm)]]*Table112345[[#This Row],[b (mm)]]*Table112345[[#This Row],[h (mm)]]*Table112345[[#This Row],[L(mm)]]/2)</f>
        <v>7.8336482782356683E-7</v>
      </c>
      <c r="T63" s="111">
        <f>G63/($AL$5*AH63*0.001*Table112345[[#This Row],[pho (%)]])</f>
        <v>2.0121157386659817E-6</v>
      </c>
      <c r="U63" s="145">
        <f>Table112345[[#This Row],[M (KN.mm)]]/(Table112345[[#This Row],[b (mm)]]*Table112345[[#This Row],[d (mm)]]*Table112345[[#This Row],[pho (%)]])</f>
        <v>1.8762446194225726</v>
      </c>
      <c r="V63" s="111">
        <f>E63*224.8/(2*SQRT(Table112345[[#This Row],[fc (Mpa)]]*145.037)*Table112345[[#This Row],[b (mm)]]*Table112345[[#This Row],[d (mm)]]*(1/25.4)^2)</f>
        <v>1.0647574390419488</v>
      </c>
      <c r="W63" s="111">
        <f>Table112345[[#This Row],[M (KN.mm)]]/$G$62</f>
        <v>1</v>
      </c>
      <c r="X63" s="110">
        <f t="shared" si="17"/>
        <v>1.0647574390419488</v>
      </c>
      <c r="Y63" s="111">
        <f>2.99*Table112345[[#This Row],[d (mm)]]</f>
        <v>1581.71</v>
      </c>
      <c r="Z63" s="160">
        <v>529</v>
      </c>
      <c r="AA63" s="160">
        <v>608</v>
      </c>
      <c r="AB63" s="160">
        <v>408</v>
      </c>
      <c r="AC63" s="160">
        <v>64.8</v>
      </c>
      <c r="AD63" s="160">
        <v>2581</v>
      </c>
      <c r="AE63" s="160">
        <v>1.2</v>
      </c>
      <c r="AF63" s="160">
        <v>525</v>
      </c>
      <c r="AG63" s="111">
        <f>(1/3-0.21*(MIN(Table112345[[#This Row],[b (mm)]],AA63)/MAX(Table112345[[#This Row],[b (mm)]],AA63))*(MIN(Table112345[[#This Row],[b (mm)]],AA63)^4/(12*MAX(Table112345[[#This Row],[b (mm)]],AA63)^4)))*MAX(Table112345[[#This Row],[b (mm)]],AA63)*MIN(Table112345[[#This Row],[b (mm)]],AA63)^3</f>
        <v>13666240930.700037</v>
      </c>
      <c r="AH63" s="111">
        <f>Table112345[[#This Row],[b (mm)]]*AA63^3/12</f>
        <v>7641694208</v>
      </c>
      <c r="AI63" s="160">
        <v>3162</v>
      </c>
      <c r="AK63" s="126"/>
    </row>
    <row r="64" spans="1:44" s="1" customFormat="1" x14ac:dyDescent="0.25">
      <c r="A64" s="158" t="s">
        <v>100</v>
      </c>
      <c r="B64" s="147">
        <v>1</v>
      </c>
      <c r="C64" s="111">
        <v>63</v>
      </c>
      <c r="D64" s="111">
        <f>Table112345[[#This Row],[a (mm)]]/Table112345[[#This Row],[d (mm)]]</f>
        <v>2.97</v>
      </c>
      <c r="E64" s="160">
        <v>208.16640000000001</v>
      </c>
      <c r="F64" s="137">
        <f>Table112345[[#This Row],[d (mm)]]</f>
        <v>684</v>
      </c>
      <c r="G64" s="135">
        <f>E64*Y64</f>
        <v>422885.87827200006</v>
      </c>
      <c r="H64" s="135">
        <f>G64/($AL$5*AH64*0.001)</f>
        <v>8.5726110650769416E-7</v>
      </c>
      <c r="I64" s="135">
        <f>G64/(Table112345[[#This Row],[b (mm)]]*Z64^2)</f>
        <v>1.7792921674264404E-3</v>
      </c>
      <c r="J64" s="135">
        <f>G64/(AD64*AF64*Z64*0.001)</f>
        <v>0.26076772871061626</v>
      </c>
      <c r="K64" s="135">
        <f>E64/($AL$4*AG64*0.001)</f>
        <v>2.0047909217899063E-7</v>
      </c>
      <c r="L64" s="135">
        <f>E64/(Table112345[[#This Row],[b (mm)]]*Z64)</f>
        <v>5.9908827186075429E-4</v>
      </c>
      <c r="M64" s="135">
        <f>Table112345[[#This Row],[M (KN.mm)]]/(Table112345[[#This Row],[b (mm)]]*Table112345[[#This Row],[d (mm)]])</f>
        <v>1.2170358425196852</v>
      </c>
      <c r="N64" s="135">
        <f>Table112345[[#This Row],[M (KN.mm)]]/(Table112345[[#This Row],[b (mm)]]*Table112345[[#This Row],[h (mm)]])</f>
        <v>1.092457370450741</v>
      </c>
      <c r="O64" s="145">
        <f>Table112345[[#This Row],[M (KN.mm)]]/(Table112345[[#This Row],[b (mm)]]*Table112345[[#This Row],[h (mm)]]*Table112345[[#This Row],[L(mm)]])</f>
        <v>2.6881332934319417E-4</v>
      </c>
      <c r="P64" s="145">
        <f>Table112345[[#This Row],[M (KN.mm)]]/(Table112345[[#This Row],[b (mm)]]*Table112345[[#This Row],[d (mm)]]*Table112345[[#This Row],[L(mm)]])</f>
        <v>2.9946748093496192E-4</v>
      </c>
      <c r="Q64" s="145">
        <f>Table112345[[#This Row],[M (KN.mm)]]/(Table112345[[#This Row],[b (mm)]]*Table112345[[#This Row],[h (mm)]]*Table112345[[#This Row],[L(mm)]]*Table112345[[#This Row],[fc (Mpa)]])</f>
        <v>3.9473322957884609E-6</v>
      </c>
      <c r="R64" s="145">
        <f>Table112345[[#This Row],[M (KN.mm)]]/(Table112345[[#This Row],[b (mm)]]*Table112345[[#This Row],[h (mm)]]*Table112345[[#This Row],[L(mm)]]/2)</f>
        <v>5.3762665868638834E-4</v>
      </c>
      <c r="S64" s="145">
        <f>Table112345[[#This Row],[M (KN.mm)]]/(Table112345[[#This Row],[a (mm)]]*Table112345[[#This Row],[b (mm)]]*Table112345[[#This Row],[h (mm)]]*Table112345[[#This Row],[L(mm)]]/2)</f>
        <v>2.6464777339003501E-7</v>
      </c>
      <c r="T64" s="111">
        <f>G64/($AL$5*AH64*0.001*Table112345[[#This Row],[pho (%)]])</f>
        <v>6.5943162039053399E-7</v>
      </c>
      <c r="U64" s="145">
        <f>Table112345[[#This Row],[M (KN.mm)]]/(Table112345[[#This Row],[b (mm)]]*Table112345[[#This Row],[d (mm)]]*Table112345[[#This Row],[pho (%)]])</f>
        <v>0.93618141732283466</v>
      </c>
      <c r="V64" s="111">
        <f>E64*224.8/(2*SQRT(Table112345[[#This Row],[fc (Mpa)]]*145.037)*Table112345[[#This Row],[b (mm)]]*Table112345[[#This Row],[d (mm)]]*(1/25.4)^2)</f>
        <v>0.43713099567322267</v>
      </c>
      <c r="W64" s="111">
        <f>Table112345[[#This Row],[M (KN.mm)]]/$G$76</f>
        <v>0.44150943396226405</v>
      </c>
      <c r="X64" s="110">
        <f t="shared" si="17"/>
        <v>0.43713099567322267</v>
      </c>
      <c r="Y64" s="111">
        <f>2.97*Table112345[[#This Row],[d (mm)]]</f>
        <v>2031.4800000000002</v>
      </c>
      <c r="Z64" s="160">
        <v>684</v>
      </c>
      <c r="AA64" s="160">
        <v>762</v>
      </c>
      <c r="AB64" s="160">
        <v>508</v>
      </c>
      <c r="AC64" s="160">
        <v>68.099999999999994</v>
      </c>
      <c r="AD64" s="160">
        <v>4516</v>
      </c>
      <c r="AE64" s="160">
        <v>1.3</v>
      </c>
      <c r="AF64" s="160">
        <v>525</v>
      </c>
      <c r="AG64" s="111">
        <f>(1/3-0.21*(MIN(Table112345[[#This Row],[b (mm)]],AA64)/MAX(Table112345[[#This Row],[b (mm)]],AA64))*(MIN(Table112345[[#This Row],[b (mm)]],AA64)^4/(12*MAX(Table112345[[#This Row],[b (mm)]],AA64)^4)))*MAX(Table112345[[#This Row],[b (mm)]],AA64)*MIN(Table112345[[#This Row],[b (mm)]],AA64)^3</f>
        <v>33068302099.026169</v>
      </c>
      <c r="AH64" s="111">
        <f>Table112345[[#This Row],[b (mm)]]*AA64^3/12</f>
        <v>18730414152</v>
      </c>
      <c r="AI64" s="160">
        <v>4064</v>
      </c>
      <c r="AJ64"/>
    </row>
    <row r="65" spans="1:39" s="1" customFormat="1" x14ac:dyDescent="0.25">
      <c r="A65" s="158" t="s">
        <v>100</v>
      </c>
      <c r="B65" s="147">
        <v>2</v>
      </c>
      <c r="C65" s="111">
        <v>64</v>
      </c>
      <c r="D65" s="111">
        <f>Table112345[[#This Row],[a (mm)]]/Table112345[[#This Row],[d (mm)]]</f>
        <v>2.97</v>
      </c>
      <c r="E65" s="160">
        <v>222.40000000000003</v>
      </c>
      <c r="F65" s="137">
        <f>Table112345[[#This Row],[d (mm)]]</f>
        <v>684</v>
      </c>
      <c r="G65" s="135">
        <f>E65*Y65</f>
        <v>451801.15200000012</v>
      </c>
      <c r="H65" s="135">
        <f>G65/($AL$5*AH65*0.001)</f>
        <v>9.158772505424084E-7</v>
      </c>
      <c r="I65" s="135">
        <f>G65/(Table112345[[#This Row],[b (mm)]]*Z65^2)</f>
        <v>1.9009531703273938E-3</v>
      </c>
      <c r="J65" s="135">
        <f>G65/(AD65*AF65*Z65*0.001)</f>
        <v>0.27859800075920543</v>
      </c>
      <c r="K65" s="135">
        <f>E65/($AL$4*AG65*0.001)</f>
        <v>2.1418706429379341E-7</v>
      </c>
      <c r="L65" s="135">
        <f>E65/(Table112345[[#This Row],[b (mm)]]*Z65)</f>
        <v>6.4005157250080586E-4</v>
      </c>
      <c r="M65" s="135">
        <f>Table112345[[#This Row],[M (KN.mm)]]/(Table112345[[#This Row],[b (mm)]]*Table112345[[#This Row],[d (mm)]])</f>
        <v>1.3002519685039373</v>
      </c>
      <c r="N65" s="135">
        <f>Table112345[[#This Row],[M (KN.mm)]]/(Table112345[[#This Row],[b (mm)]]*Table112345[[#This Row],[h (mm)]])</f>
        <v>1.1671553103106209</v>
      </c>
      <c r="O65" s="145">
        <f>Table112345[[#This Row],[M (KN.mm)]]/(Table112345[[#This Row],[b (mm)]]*Table112345[[#This Row],[h (mm)]]*Table112345[[#This Row],[L(mm)]])</f>
        <v>2.8719372793076302E-4</v>
      </c>
      <c r="P65" s="145">
        <f>Table112345[[#This Row],[M (KN.mm)]]/(Table112345[[#This Row],[b (mm)]]*Table112345[[#This Row],[d (mm)]]*Table112345[[#This Row],[L(mm)]])</f>
        <v>3.1994388988777983E-4</v>
      </c>
      <c r="Q65" s="145">
        <f>Table112345[[#This Row],[M (KN.mm)]]/(Table112345[[#This Row],[b (mm)]]*Table112345[[#This Row],[h (mm)]]*Table112345[[#This Row],[L(mm)]]*Table112345[[#This Row],[fc (Mpa)]])</f>
        <v>4.2172353587483559E-6</v>
      </c>
      <c r="R65" s="145">
        <f>Table112345[[#This Row],[M (KN.mm)]]/(Table112345[[#This Row],[b (mm)]]*Table112345[[#This Row],[h (mm)]]*Table112345[[#This Row],[L(mm)]]/2)</f>
        <v>5.7438745586152603E-4</v>
      </c>
      <c r="S65" s="145">
        <f>Table112345[[#This Row],[M (KN.mm)]]/(Table112345[[#This Row],[a (mm)]]*Table112345[[#This Row],[b (mm)]]*Table112345[[#This Row],[h (mm)]]*Table112345[[#This Row],[L(mm)]]/2)</f>
        <v>2.8274334763892629E-7</v>
      </c>
      <c r="T65" s="111">
        <f>G65/($AL$5*AH65*0.001*Table112345[[#This Row],[pho (%)]])</f>
        <v>7.0452096195569881E-7</v>
      </c>
      <c r="U65" s="145">
        <f>Table112345[[#This Row],[M (KN.mm)]]/(Table112345[[#This Row],[b (mm)]]*Table112345[[#This Row],[d (mm)]]*Table112345[[#This Row],[pho (%)]])</f>
        <v>1.0001938219261055</v>
      </c>
      <c r="V65" s="111">
        <f>E65*224.8/(2*SQRT(Table112345[[#This Row],[fc (Mpa)]]*145.037)*Table112345[[#This Row],[b (mm)]]*Table112345[[#This Row],[d (mm)]]*(1/25.4)^2)</f>
        <v>0.4670202945226738</v>
      </c>
      <c r="W65" s="111">
        <f>Table112345[[#This Row],[M (KN.mm)]]/$G$76</f>
        <v>0.47169811320754712</v>
      </c>
      <c r="X65" s="110">
        <f t="shared" si="17"/>
        <v>0.4670202945226738</v>
      </c>
      <c r="Y65" s="111">
        <f>2.97*Table112345[[#This Row],[d (mm)]]</f>
        <v>2031.4800000000002</v>
      </c>
      <c r="Z65" s="160">
        <v>684</v>
      </c>
      <c r="AA65" s="160">
        <v>762</v>
      </c>
      <c r="AB65" s="160">
        <v>508</v>
      </c>
      <c r="AC65" s="160">
        <v>68.099999999999994</v>
      </c>
      <c r="AD65" s="160">
        <v>4516</v>
      </c>
      <c r="AE65" s="160">
        <v>1.3</v>
      </c>
      <c r="AF65" s="160">
        <v>525</v>
      </c>
      <c r="AG65" s="111">
        <f>(1/3-0.21*(MIN(Table112345[[#This Row],[b (mm)]],AA65)/MAX(Table112345[[#This Row],[b (mm)]],AA65))*(MIN(Table112345[[#This Row],[b (mm)]],AA65)^4/(12*MAX(Table112345[[#This Row],[b (mm)]],AA65)^4)))*MAX(Table112345[[#This Row],[b (mm)]],AA65)*MIN(Table112345[[#This Row],[b (mm)]],AA65)^3</f>
        <v>33068302099.026169</v>
      </c>
      <c r="AH65" s="111">
        <f>Table112345[[#This Row],[b (mm)]]*AA65^3/12</f>
        <v>18730414152</v>
      </c>
      <c r="AI65" s="160">
        <v>4064</v>
      </c>
      <c r="AJ65"/>
    </row>
    <row r="66" spans="1:39" s="1" customFormat="1" x14ac:dyDescent="0.25">
      <c r="A66" s="158" t="s">
        <v>100</v>
      </c>
      <c r="B66" s="147">
        <v>3</v>
      </c>
      <c r="C66" s="111">
        <v>65</v>
      </c>
      <c r="D66" s="111">
        <f>Table112345[[#This Row],[a (mm)]]/Table112345[[#This Row],[d (mm)]]</f>
        <v>2.97</v>
      </c>
      <c r="E66" s="160">
        <v>244.64000000000001</v>
      </c>
      <c r="F66" s="137">
        <f>Table112345[[#This Row],[d (mm)]]</f>
        <v>684</v>
      </c>
      <c r="G66" s="135">
        <f>E66*Y66</f>
        <v>496981.26720000012</v>
      </c>
      <c r="H66" s="135">
        <f>G66/($AL$5*AH66*0.001)</f>
        <v>1.0074649755966492E-6</v>
      </c>
      <c r="I66" s="135">
        <f>G66/(Table112345[[#This Row],[b (mm)]]*Z66^2)</f>
        <v>2.091048487360133E-3</v>
      </c>
      <c r="J66" s="135">
        <f>G66/(AD66*AF66*Z66*0.001)</f>
        <v>0.30645780083512597</v>
      </c>
      <c r="K66" s="135">
        <f>E66/($AL$4*AG66*0.001)</f>
        <v>2.3560577072317273E-7</v>
      </c>
      <c r="L66" s="135">
        <f>E66/(Table112345[[#This Row],[b (mm)]]*Z66)</f>
        <v>7.0405672975088645E-4</v>
      </c>
      <c r="M66" s="135">
        <f>Table112345[[#This Row],[M (KN.mm)]]/(Table112345[[#This Row],[b (mm)]]*Table112345[[#This Row],[d (mm)]])</f>
        <v>1.4302771653543311</v>
      </c>
      <c r="N66" s="135">
        <f>Table112345[[#This Row],[M (KN.mm)]]/(Table112345[[#This Row],[b (mm)]]*Table112345[[#This Row],[h (mm)]])</f>
        <v>1.2838708413416831</v>
      </c>
      <c r="O66" s="145">
        <f>Table112345[[#This Row],[M (KN.mm)]]/(Table112345[[#This Row],[b (mm)]]*Table112345[[#This Row],[h (mm)]]*Table112345[[#This Row],[L(mm)]])</f>
        <v>3.1591310072383934E-4</v>
      </c>
      <c r="P66" s="145">
        <f>Table112345[[#This Row],[M (KN.mm)]]/(Table112345[[#This Row],[b (mm)]]*Table112345[[#This Row],[d (mm)]]*Table112345[[#This Row],[L(mm)]])</f>
        <v>3.5193827887655785E-4</v>
      </c>
      <c r="Q66" s="145">
        <f>Table112345[[#This Row],[M (KN.mm)]]/(Table112345[[#This Row],[b (mm)]]*Table112345[[#This Row],[h (mm)]]*Table112345[[#This Row],[L(mm)]]*Table112345[[#This Row],[fc (Mpa)]])</f>
        <v>4.6389588946231911E-6</v>
      </c>
      <c r="R66" s="145">
        <f>Table112345[[#This Row],[M (KN.mm)]]/(Table112345[[#This Row],[b (mm)]]*Table112345[[#This Row],[h (mm)]]*Table112345[[#This Row],[L(mm)]]/2)</f>
        <v>6.3182620144767868E-4</v>
      </c>
      <c r="S66" s="145">
        <f>Table112345[[#This Row],[M (KN.mm)]]/(Table112345[[#This Row],[a (mm)]]*Table112345[[#This Row],[b (mm)]]*Table112345[[#This Row],[h (mm)]]*Table112345[[#This Row],[L(mm)]]/2)</f>
        <v>3.1101768240281896E-7</v>
      </c>
      <c r="T66" s="111">
        <f>G66/($AL$5*AH66*0.001*Table112345[[#This Row],[pho (%)]])</f>
        <v>7.7497305815126864E-7</v>
      </c>
      <c r="U66" s="145">
        <f>Table112345[[#This Row],[M (KN.mm)]]/(Table112345[[#This Row],[b (mm)]]*Table112345[[#This Row],[d (mm)]]*Table112345[[#This Row],[pho (%)]])</f>
        <v>1.100213204118716</v>
      </c>
      <c r="V66" s="111">
        <f>E66*224.8/(2*SQRT(Table112345[[#This Row],[fc (Mpa)]]*145.037)*Table112345[[#This Row],[b (mm)]]*Table112345[[#This Row],[d (mm)]]*(1/25.4)^2)</f>
        <v>0.51372232397494111</v>
      </c>
      <c r="W66" s="111">
        <f>Table112345[[#This Row],[M (KN.mm)]]/$G$76</f>
        <v>0.51886792452830177</v>
      </c>
      <c r="X66" s="110">
        <f t="shared" ref="X66:X88" si="22">V66</f>
        <v>0.51372232397494111</v>
      </c>
      <c r="Y66" s="111">
        <f>2.97*Table112345[[#This Row],[d (mm)]]</f>
        <v>2031.4800000000002</v>
      </c>
      <c r="Z66" s="160">
        <v>684</v>
      </c>
      <c r="AA66" s="160">
        <v>762</v>
      </c>
      <c r="AB66" s="160">
        <v>508</v>
      </c>
      <c r="AC66" s="160">
        <v>68.099999999999994</v>
      </c>
      <c r="AD66" s="160">
        <v>4516</v>
      </c>
      <c r="AE66" s="160">
        <v>1.3</v>
      </c>
      <c r="AF66" s="160">
        <v>525</v>
      </c>
      <c r="AG66" s="111">
        <f>(1/3-0.21*(MIN(Table112345[[#This Row],[b (mm)]],AA66)/MAX(Table112345[[#This Row],[b (mm)]],AA66))*(MIN(Table112345[[#This Row],[b (mm)]],AA66)^4/(12*MAX(Table112345[[#This Row],[b (mm)]],AA66)^4)))*MAX(Table112345[[#This Row],[b (mm)]],AA66)*MIN(Table112345[[#This Row],[b (mm)]],AA66)^3</f>
        <v>33068302099.026169</v>
      </c>
      <c r="AH66" s="111">
        <f>Table112345[[#This Row],[b (mm)]]*AA66^3/12</f>
        <v>18730414152</v>
      </c>
      <c r="AI66" s="160">
        <v>4064</v>
      </c>
      <c r="AJ66"/>
    </row>
    <row r="67" spans="1:39" x14ac:dyDescent="0.25">
      <c r="A67" s="158" t="s">
        <v>100</v>
      </c>
      <c r="B67" s="147">
        <v>4</v>
      </c>
      <c r="C67" s="111">
        <v>66</v>
      </c>
      <c r="D67" s="111">
        <f>Table112345[[#This Row],[a (mm)]]/Table112345[[#This Row],[d (mm)]]</f>
        <v>2.97</v>
      </c>
      <c r="E67" s="111">
        <v>266.88</v>
      </c>
      <c r="F67" s="137">
        <f>Table112345[[#This Row],[d (mm)]]</f>
        <v>684</v>
      </c>
      <c r="G67" s="135">
        <f>E67*Y67</f>
        <v>542161.3824</v>
      </c>
      <c r="H67" s="135">
        <f>G67/($AL$5*AH67*0.001)</f>
        <v>1.0990527006508899E-6</v>
      </c>
      <c r="I67" s="135">
        <f>G67/(Table112345[[#This Row],[b (mm)]]*Z67^2)</f>
        <v>2.281143804392872E-3</v>
      </c>
      <c r="J67" s="135">
        <f>G67/(AD67*AF67*Z67*0.001)</f>
        <v>0.3343176009110464</v>
      </c>
      <c r="K67" s="135">
        <f>E67/($AL$4*AG67*0.001)</f>
        <v>2.5702447715255206E-7</v>
      </c>
      <c r="L67" s="135">
        <f>E67/(Table112345[[#This Row],[b (mm)]]*Z67)</f>
        <v>7.6806188700096693E-4</v>
      </c>
      <c r="M67" s="135">
        <f>Table112345[[#This Row],[M (KN.mm)]]/(Table112345[[#This Row],[b (mm)]]*Table112345[[#This Row],[d (mm)]])</f>
        <v>1.5603023622047245</v>
      </c>
      <c r="N67" s="135">
        <f>Table112345[[#This Row],[M (KN.mm)]]/(Table112345[[#This Row],[b (mm)]]*Table112345[[#This Row],[h (mm)]])</f>
        <v>1.4005863723727447</v>
      </c>
      <c r="O67" s="145">
        <f>Table112345[[#This Row],[M (KN.mm)]]/(Table112345[[#This Row],[b (mm)]]*Table112345[[#This Row],[h (mm)]]*Table112345[[#This Row],[L(mm)]])</f>
        <v>3.4463247351691555E-4</v>
      </c>
      <c r="P67" s="145">
        <f>Table112345[[#This Row],[M (KN.mm)]]/(Table112345[[#This Row],[b (mm)]]*Table112345[[#This Row],[d (mm)]]*Table112345[[#This Row],[L(mm)]])</f>
        <v>3.8393266786533576E-4</v>
      </c>
      <c r="Q67" s="145">
        <f>Table112345[[#This Row],[M (KN.mm)]]/(Table112345[[#This Row],[b (mm)]]*Table112345[[#This Row],[h (mm)]]*Table112345[[#This Row],[L(mm)]]*Table112345[[#This Row],[fc (Mpa)]])</f>
        <v>5.0606824304980254E-6</v>
      </c>
      <c r="R67" s="145">
        <f>Table112345[[#This Row],[M (KN.mm)]]/(Table112345[[#This Row],[b (mm)]]*Table112345[[#This Row],[h (mm)]]*Table112345[[#This Row],[L(mm)]]/2)</f>
        <v>6.8926494703383111E-4</v>
      </c>
      <c r="S67" s="145">
        <f>Table112345[[#This Row],[M (KN.mm)]]/(Table112345[[#This Row],[a (mm)]]*Table112345[[#This Row],[b (mm)]]*Table112345[[#This Row],[h (mm)]]*Table112345[[#This Row],[L(mm)]]/2)</f>
        <v>3.3929201716671146E-7</v>
      </c>
      <c r="T67" s="111">
        <f>G67/($AL$5*AH67*0.001*Table112345[[#This Row],[pho (%)]])</f>
        <v>8.4542515434683836E-7</v>
      </c>
      <c r="U67" s="145">
        <f>Table112345[[#This Row],[M (KN.mm)]]/(Table112345[[#This Row],[b (mm)]]*Table112345[[#This Row],[d (mm)]]*Table112345[[#This Row],[pho (%)]])</f>
        <v>1.2002325863113263</v>
      </c>
      <c r="V67" s="111">
        <f>E67*224.8/(2*SQRT(Table112345[[#This Row],[fc (Mpa)]]*145.037)*Table112345[[#This Row],[b (mm)]]*Table112345[[#This Row],[d (mm)]]*(1/25.4)^2)</f>
        <v>0.56042435342720853</v>
      </c>
      <c r="W67" s="111">
        <f>Table112345[[#This Row],[M (KN.mm)]]/$G$76</f>
        <v>0.56603773584905637</v>
      </c>
      <c r="X67" s="110">
        <f t="shared" si="22"/>
        <v>0.56042435342720853</v>
      </c>
      <c r="Y67" s="111">
        <f>2.97*Table112345[[#This Row],[d (mm)]]</f>
        <v>2031.4800000000002</v>
      </c>
      <c r="Z67" s="160">
        <v>684</v>
      </c>
      <c r="AA67" s="160">
        <v>762</v>
      </c>
      <c r="AB67" s="160">
        <v>508</v>
      </c>
      <c r="AC67" s="160">
        <v>68.099999999999994</v>
      </c>
      <c r="AD67" s="160">
        <v>4516</v>
      </c>
      <c r="AE67" s="160">
        <v>1.3</v>
      </c>
      <c r="AF67" s="160">
        <v>525</v>
      </c>
      <c r="AG67" s="111">
        <f>(1/3-0.21*(MIN(Table112345[[#This Row],[b (mm)]],AA67)/MAX(Table112345[[#This Row],[b (mm)]],AA67))*(MIN(Table112345[[#This Row],[b (mm)]],AA67)^4/(12*MAX(Table112345[[#This Row],[b (mm)]],AA67)^4)))*MAX(Table112345[[#This Row],[b (mm)]],AA67)*MIN(Table112345[[#This Row],[b (mm)]],AA67)^3</f>
        <v>33068302099.026169</v>
      </c>
      <c r="AH67" s="111">
        <f>Table112345[[#This Row],[b (mm)]]*AA67^3/12</f>
        <v>18730414152</v>
      </c>
      <c r="AI67" s="160">
        <v>4064</v>
      </c>
      <c r="AK67" s="126"/>
    </row>
    <row r="68" spans="1:39" x14ac:dyDescent="0.25">
      <c r="A68" s="158" t="s">
        <v>100</v>
      </c>
      <c r="B68" s="147">
        <v>5</v>
      </c>
      <c r="C68" s="111">
        <v>67</v>
      </c>
      <c r="D68" s="111">
        <f>Table112345[[#This Row],[a (mm)]]/Table112345[[#This Row],[d (mm)]]</f>
        <v>2.97</v>
      </c>
      <c r="E68" s="111">
        <v>289.12</v>
      </c>
      <c r="F68" s="137">
        <f>Table112345[[#This Row],[d (mm)]]</f>
        <v>684</v>
      </c>
      <c r="G68" s="135">
        <f t="shared" ref="G68:G77" si="23">E68*Y68</f>
        <v>587341.49760000012</v>
      </c>
      <c r="H68" s="135">
        <f t="shared" ref="H68:H77" si="24">G68/($AL$5*AH68*0.001)</f>
        <v>1.1906404257051309E-6</v>
      </c>
      <c r="I68" s="135">
        <f>G68/(Table112345[[#This Row],[b (mm)]]*Z68^2)</f>
        <v>2.4712391214256118E-3</v>
      </c>
      <c r="J68" s="135">
        <f t="shared" ref="J68:J77" si="25">G68/(AD68*AF68*Z68*0.001)</f>
        <v>0.36217740098696705</v>
      </c>
      <c r="K68" s="135">
        <f t="shared" ref="K68:K77" si="26">E68/($AL$4*AG68*0.001)</f>
        <v>2.7844318358193138E-7</v>
      </c>
      <c r="L68" s="135">
        <f>E68/(Table112345[[#This Row],[b (mm)]]*Z68)</f>
        <v>8.3206704425104762E-4</v>
      </c>
      <c r="M68" s="135">
        <f>Table112345[[#This Row],[M (KN.mm)]]/(Table112345[[#This Row],[b (mm)]]*Table112345[[#This Row],[d (mm)]])</f>
        <v>1.6903275590551186</v>
      </c>
      <c r="N68" s="135">
        <f>Table112345[[#This Row],[M (KN.mm)]]/(Table112345[[#This Row],[b (mm)]]*Table112345[[#This Row],[h (mm)]])</f>
        <v>1.5173019034038071</v>
      </c>
      <c r="O68" s="145">
        <f>Table112345[[#This Row],[M (KN.mm)]]/(Table112345[[#This Row],[b (mm)]]*Table112345[[#This Row],[h (mm)]]*Table112345[[#This Row],[L(mm)]])</f>
        <v>3.7335184630999193E-4</v>
      </c>
      <c r="P68" s="145">
        <f>Table112345[[#This Row],[M (KN.mm)]]/(Table112345[[#This Row],[b (mm)]]*Table112345[[#This Row],[d (mm)]]*Table112345[[#This Row],[L(mm)]])</f>
        <v>4.1592705685411377E-4</v>
      </c>
      <c r="Q68" s="145">
        <f>Table112345[[#This Row],[M (KN.mm)]]/(Table112345[[#This Row],[b (mm)]]*Table112345[[#This Row],[h (mm)]]*Table112345[[#This Row],[L(mm)]]*Table112345[[#This Row],[fc (Mpa)]])</f>
        <v>5.4824059663728623E-6</v>
      </c>
      <c r="R68" s="145">
        <f>Table112345[[#This Row],[M (KN.mm)]]/(Table112345[[#This Row],[b (mm)]]*Table112345[[#This Row],[h (mm)]]*Table112345[[#This Row],[L(mm)]]/2)</f>
        <v>7.4670369261998386E-4</v>
      </c>
      <c r="S68" s="145">
        <f>Table112345[[#This Row],[M (KN.mm)]]/(Table112345[[#This Row],[a (mm)]]*Table112345[[#This Row],[b (mm)]]*Table112345[[#This Row],[h (mm)]]*Table112345[[#This Row],[L(mm)]]/2)</f>
        <v>3.6756635193060418E-7</v>
      </c>
      <c r="T68" s="111">
        <f>G68/($AL$5*AH68*0.001*Table112345[[#This Row],[pho (%)]])</f>
        <v>9.158772505424084E-7</v>
      </c>
      <c r="U68" s="145">
        <f>Table112345[[#This Row],[M (KN.mm)]]/(Table112345[[#This Row],[b (mm)]]*Table112345[[#This Row],[d (mm)]]*Table112345[[#This Row],[pho (%)]])</f>
        <v>1.3002519685039371</v>
      </c>
      <c r="V68" s="111">
        <f>E68*224.8/(2*SQRT(Table112345[[#This Row],[fc (Mpa)]]*145.037)*Table112345[[#This Row],[b (mm)]]*Table112345[[#This Row],[d (mm)]]*(1/25.4)^2)</f>
        <v>0.60712638287947585</v>
      </c>
      <c r="W68" s="111">
        <f>Table112345[[#This Row],[M (KN.mm)]]/$G$76</f>
        <v>0.61320754716981118</v>
      </c>
      <c r="X68" s="110">
        <f t="shared" si="22"/>
        <v>0.60712638287947585</v>
      </c>
      <c r="Y68" s="111">
        <f>2.97*Table112345[[#This Row],[d (mm)]]</f>
        <v>2031.4800000000002</v>
      </c>
      <c r="Z68" s="160">
        <v>684</v>
      </c>
      <c r="AA68" s="160">
        <v>762</v>
      </c>
      <c r="AB68" s="160">
        <v>508</v>
      </c>
      <c r="AC68" s="160">
        <v>68.099999999999994</v>
      </c>
      <c r="AD68" s="160">
        <v>4516</v>
      </c>
      <c r="AE68" s="160">
        <v>1.3</v>
      </c>
      <c r="AF68" s="160">
        <v>525</v>
      </c>
      <c r="AG68" s="111">
        <f>(1/3-0.21*(MIN(Table112345[[#This Row],[b (mm)]],AA68)/MAX(Table112345[[#This Row],[b (mm)]],AA68))*(MIN(Table112345[[#This Row],[b (mm)]],AA68)^4/(12*MAX(Table112345[[#This Row],[b (mm)]],AA68)^4)))*MAX(Table112345[[#This Row],[b (mm)]],AA68)*MIN(Table112345[[#This Row],[b (mm)]],AA68)^3</f>
        <v>33068302099.026169</v>
      </c>
      <c r="AH68" s="111">
        <f>Table112345[[#This Row],[b (mm)]]*AA68^3/12</f>
        <v>18730414152</v>
      </c>
      <c r="AI68" s="160">
        <v>4064</v>
      </c>
      <c r="AK68" s="126"/>
    </row>
    <row r="69" spans="1:39" x14ac:dyDescent="0.25">
      <c r="A69" s="158" t="s">
        <v>100</v>
      </c>
      <c r="B69" s="147">
        <v>6</v>
      </c>
      <c r="C69" s="111">
        <v>68</v>
      </c>
      <c r="D69" s="111">
        <f>Table112345[[#This Row],[a (mm)]]/Table112345[[#This Row],[d (mm)]]</f>
        <v>2.97</v>
      </c>
      <c r="E69" s="111">
        <v>311.36</v>
      </c>
      <c r="F69" s="137">
        <f>Table112345[[#This Row],[d (mm)]]</f>
        <v>684</v>
      </c>
      <c r="G69" s="135">
        <f t="shared" si="23"/>
        <v>632521.61280000012</v>
      </c>
      <c r="H69" s="135">
        <f t="shared" si="24"/>
        <v>1.2822281507593716E-6</v>
      </c>
      <c r="I69" s="135">
        <f>G69/(Table112345[[#This Row],[b (mm)]]*Z69^2)</f>
        <v>2.6613344384583512E-3</v>
      </c>
      <c r="J69" s="135">
        <f t="shared" si="25"/>
        <v>0.39003720106288758</v>
      </c>
      <c r="K69" s="135">
        <f t="shared" si="26"/>
        <v>2.9986189001131076E-7</v>
      </c>
      <c r="L69" s="135">
        <f>E69/(Table112345[[#This Row],[b (mm)]]*Z69)</f>
        <v>8.9607220150112821E-4</v>
      </c>
      <c r="M69" s="135">
        <f>Table112345[[#This Row],[M (KN.mm)]]/(Table112345[[#This Row],[b (mm)]]*Table112345[[#This Row],[d (mm)]])</f>
        <v>1.8203527559055122</v>
      </c>
      <c r="N69" s="135">
        <f>Table112345[[#This Row],[M (KN.mm)]]/(Table112345[[#This Row],[b (mm)]]*Table112345[[#This Row],[h (mm)]])</f>
        <v>1.6340174344348692</v>
      </c>
      <c r="O69" s="145">
        <f>Table112345[[#This Row],[M (KN.mm)]]/(Table112345[[#This Row],[b (mm)]]*Table112345[[#This Row],[h (mm)]]*Table112345[[#This Row],[L(mm)]])</f>
        <v>4.020712191030682E-4</v>
      </c>
      <c r="P69" s="145">
        <f>Table112345[[#This Row],[M (KN.mm)]]/(Table112345[[#This Row],[b (mm)]]*Table112345[[#This Row],[d (mm)]]*Table112345[[#This Row],[L(mm)]])</f>
        <v>4.4792144584289179E-4</v>
      </c>
      <c r="Q69" s="145">
        <f>Table112345[[#This Row],[M (KN.mm)]]/(Table112345[[#This Row],[b (mm)]]*Table112345[[#This Row],[h (mm)]]*Table112345[[#This Row],[L(mm)]]*Table112345[[#This Row],[fc (Mpa)]])</f>
        <v>5.9041295022476983E-6</v>
      </c>
      <c r="R69" s="145">
        <f>Table112345[[#This Row],[M (KN.mm)]]/(Table112345[[#This Row],[b (mm)]]*Table112345[[#This Row],[h (mm)]]*Table112345[[#This Row],[L(mm)]]/2)</f>
        <v>8.041424382061364E-4</v>
      </c>
      <c r="S69" s="145">
        <f>Table112345[[#This Row],[M (KN.mm)]]/(Table112345[[#This Row],[a (mm)]]*Table112345[[#This Row],[b (mm)]]*Table112345[[#This Row],[h (mm)]]*Table112345[[#This Row],[L(mm)]]/2)</f>
        <v>3.958406866944968E-7</v>
      </c>
      <c r="T69" s="111">
        <f>G69/($AL$5*AH69*0.001*Table112345[[#This Row],[pho (%)]])</f>
        <v>9.8632934673797822E-7</v>
      </c>
      <c r="U69" s="145">
        <f>Table112345[[#This Row],[M (KN.mm)]]/(Table112345[[#This Row],[b (mm)]]*Table112345[[#This Row],[d (mm)]]*Table112345[[#This Row],[pho (%)]])</f>
        <v>1.4002713506965476</v>
      </c>
      <c r="V69" s="111">
        <f>E69*224.8/(2*SQRT(Table112345[[#This Row],[fc (Mpa)]]*145.037)*Table112345[[#This Row],[b (mm)]]*Table112345[[#This Row],[d (mm)]]*(1/25.4)^2)</f>
        <v>0.65382841233174327</v>
      </c>
      <c r="W69" s="111">
        <f>Table112345[[#This Row],[M (KN.mm)]]/$G$76</f>
        <v>0.66037735849056589</v>
      </c>
      <c r="X69" s="110">
        <f t="shared" si="22"/>
        <v>0.65382841233174327</v>
      </c>
      <c r="Y69" s="111">
        <f>2.97*Table112345[[#This Row],[d (mm)]]</f>
        <v>2031.4800000000002</v>
      </c>
      <c r="Z69" s="160">
        <v>684</v>
      </c>
      <c r="AA69" s="160">
        <v>762</v>
      </c>
      <c r="AB69" s="160">
        <v>508</v>
      </c>
      <c r="AC69" s="160">
        <v>68.099999999999994</v>
      </c>
      <c r="AD69" s="160">
        <v>4516</v>
      </c>
      <c r="AE69" s="160">
        <v>1.3</v>
      </c>
      <c r="AF69" s="160">
        <v>525</v>
      </c>
      <c r="AG69" s="111">
        <f>(1/3-0.21*(MIN(Table112345[[#This Row],[b (mm)]],AA69)/MAX(Table112345[[#This Row],[b (mm)]],AA69))*(MIN(Table112345[[#This Row],[b (mm)]],AA69)^4/(12*MAX(Table112345[[#This Row],[b (mm)]],AA69)^4)))*MAX(Table112345[[#This Row],[b (mm)]],AA69)*MIN(Table112345[[#This Row],[b (mm)]],AA69)^3</f>
        <v>33068302099.026169</v>
      </c>
      <c r="AH69" s="111">
        <f>Table112345[[#This Row],[b (mm)]]*AA69^3/12</f>
        <v>18730414152</v>
      </c>
      <c r="AI69" s="160">
        <v>4064</v>
      </c>
      <c r="AK69" s="126"/>
    </row>
    <row r="70" spans="1:39" x14ac:dyDescent="0.25">
      <c r="A70" s="158" t="s">
        <v>100</v>
      </c>
      <c r="B70" s="147">
        <v>7</v>
      </c>
      <c r="C70" s="111">
        <v>69</v>
      </c>
      <c r="D70" s="111">
        <f>Table112345[[#This Row],[a (mm)]]/Table112345[[#This Row],[d (mm)]]</f>
        <v>2.97</v>
      </c>
      <c r="E70" s="111">
        <v>333.6</v>
      </c>
      <c r="F70" s="137">
        <f>Table112345[[#This Row],[d (mm)]]</f>
        <v>684</v>
      </c>
      <c r="G70" s="135">
        <f t="shared" si="23"/>
        <v>677701.72800000012</v>
      </c>
      <c r="H70" s="135">
        <f t="shared" si="24"/>
        <v>1.3738158758136126E-6</v>
      </c>
      <c r="I70" s="135">
        <f>G70/(Table112345[[#This Row],[b (mm)]]*Z70^2)</f>
        <v>2.8514297554910906E-3</v>
      </c>
      <c r="J70" s="135">
        <f t="shared" si="25"/>
        <v>0.41789700113880812</v>
      </c>
      <c r="K70" s="135">
        <f t="shared" si="26"/>
        <v>3.2128059644069009E-7</v>
      </c>
      <c r="L70" s="135">
        <f>E70/(Table112345[[#This Row],[b (mm)]]*Z70)</f>
        <v>9.600773587512088E-4</v>
      </c>
      <c r="M70" s="135">
        <f>Table112345[[#This Row],[M (KN.mm)]]/(Table112345[[#This Row],[b (mm)]]*Table112345[[#This Row],[d (mm)]])</f>
        <v>1.9503779527559058</v>
      </c>
      <c r="N70" s="135">
        <f>Table112345[[#This Row],[M (KN.mm)]]/(Table112345[[#This Row],[b (mm)]]*Table112345[[#This Row],[h (mm)]])</f>
        <v>1.7507329654659312</v>
      </c>
      <c r="O70" s="145">
        <f>Table112345[[#This Row],[M (KN.mm)]]/(Table112345[[#This Row],[b (mm)]]*Table112345[[#This Row],[h (mm)]]*Table112345[[#This Row],[L(mm)]])</f>
        <v>4.3079059189614452E-4</v>
      </c>
      <c r="P70" s="145">
        <f>Table112345[[#This Row],[M (KN.mm)]]/(Table112345[[#This Row],[b (mm)]]*Table112345[[#This Row],[d (mm)]]*Table112345[[#This Row],[L(mm)]])</f>
        <v>4.7991583483166975E-4</v>
      </c>
      <c r="Q70" s="145">
        <f>Table112345[[#This Row],[M (KN.mm)]]/(Table112345[[#This Row],[b (mm)]]*Table112345[[#This Row],[h (mm)]]*Table112345[[#This Row],[L(mm)]]*Table112345[[#This Row],[fc (Mpa)]])</f>
        <v>6.3258530381225335E-6</v>
      </c>
      <c r="R70" s="145">
        <f>Table112345[[#This Row],[M (KN.mm)]]/(Table112345[[#This Row],[b (mm)]]*Table112345[[#This Row],[h (mm)]]*Table112345[[#This Row],[L(mm)]]/2)</f>
        <v>8.6158118379228905E-4</v>
      </c>
      <c r="S70" s="145">
        <f>Table112345[[#This Row],[M (KN.mm)]]/(Table112345[[#This Row],[a (mm)]]*Table112345[[#This Row],[b (mm)]]*Table112345[[#This Row],[h (mm)]]*Table112345[[#This Row],[L(mm)]]/2)</f>
        <v>4.2411502145838941E-7</v>
      </c>
      <c r="T70" s="111">
        <f>G70/($AL$5*AH70*0.001*Table112345[[#This Row],[pho (%)]])</f>
        <v>1.0567814429335481E-6</v>
      </c>
      <c r="U70" s="145">
        <f>Table112345[[#This Row],[M (KN.mm)]]/(Table112345[[#This Row],[b (mm)]]*Table112345[[#This Row],[d (mm)]]*Table112345[[#This Row],[pho (%)]])</f>
        <v>1.5002907328891582</v>
      </c>
      <c r="V70" s="111">
        <f>E70*224.8/(2*SQRT(Table112345[[#This Row],[fc (Mpa)]]*145.037)*Table112345[[#This Row],[b (mm)]]*Table112345[[#This Row],[d (mm)]]*(1/25.4)^2)</f>
        <v>0.70053044178401069</v>
      </c>
      <c r="W70" s="111">
        <f>Table112345[[#This Row],[M (KN.mm)]]/$G$76</f>
        <v>0.7075471698113206</v>
      </c>
      <c r="X70" s="110">
        <f t="shared" si="22"/>
        <v>0.70053044178401069</v>
      </c>
      <c r="Y70" s="111">
        <f>2.97*Table112345[[#This Row],[d (mm)]]</f>
        <v>2031.4800000000002</v>
      </c>
      <c r="Z70" s="160">
        <v>684</v>
      </c>
      <c r="AA70" s="160">
        <v>762</v>
      </c>
      <c r="AB70" s="160">
        <v>508</v>
      </c>
      <c r="AC70" s="160">
        <v>68.099999999999994</v>
      </c>
      <c r="AD70" s="160">
        <v>4516</v>
      </c>
      <c r="AE70" s="160">
        <v>1.3</v>
      </c>
      <c r="AF70" s="160">
        <v>525</v>
      </c>
      <c r="AG70" s="111">
        <f>(1/3-0.21*(MIN(Table112345[[#This Row],[b (mm)]],AA70)/MAX(Table112345[[#This Row],[b (mm)]],AA70))*(MIN(Table112345[[#This Row],[b (mm)]],AA70)^4/(12*MAX(Table112345[[#This Row],[b (mm)]],AA70)^4)))*MAX(Table112345[[#This Row],[b (mm)]],AA70)*MIN(Table112345[[#This Row],[b (mm)]],AA70)^3</f>
        <v>33068302099.026169</v>
      </c>
      <c r="AH70" s="111">
        <f>Table112345[[#This Row],[b (mm)]]*AA70^3/12</f>
        <v>18730414152</v>
      </c>
      <c r="AI70" s="160">
        <v>4064</v>
      </c>
      <c r="AK70" s="126"/>
    </row>
    <row r="71" spans="1:39" x14ac:dyDescent="0.25">
      <c r="A71" s="158" t="s">
        <v>100</v>
      </c>
      <c r="B71" s="147">
        <v>8</v>
      </c>
      <c r="C71" s="111">
        <v>70</v>
      </c>
      <c r="D71" s="111">
        <f>Table112345[[#This Row],[a (mm)]]/Table112345[[#This Row],[d (mm)]]</f>
        <v>2.97</v>
      </c>
      <c r="E71" s="111">
        <v>355.84000000000003</v>
      </c>
      <c r="F71" s="137">
        <f>Table112345[[#This Row],[d (mm)]]</f>
        <v>684</v>
      </c>
      <c r="G71" s="135">
        <f t="shared" si="23"/>
        <v>722881.84320000012</v>
      </c>
      <c r="H71" s="135">
        <f t="shared" si="24"/>
        <v>1.4654036008678534E-6</v>
      </c>
      <c r="I71" s="135">
        <f>G71/(Table112345[[#This Row],[b (mm)]]*Z71^2)</f>
        <v>3.0415250725238296E-3</v>
      </c>
      <c r="J71" s="135">
        <f t="shared" si="25"/>
        <v>0.44575680121472866</v>
      </c>
      <c r="K71" s="135">
        <f t="shared" si="26"/>
        <v>3.4269930287006946E-7</v>
      </c>
      <c r="L71" s="135">
        <f>E71/(Table112345[[#This Row],[b (mm)]]*Z71)</f>
        <v>1.0240825160012894E-3</v>
      </c>
      <c r="M71" s="135">
        <f>Table112345[[#This Row],[M (KN.mm)]]/(Table112345[[#This Row],[b (mm)]]*Table112345[[#This Row],[d (mm)]])</f>
        <v>2.0804031496062994</v>
      </c>
      <c r="N71" s="135">
        <f>Table112345[[#This Row],[M (KN.mm)]]/(Table112345[[#This Row],[b (mm)]]*Table112345[[#This Row],[h (mm)]])</f>
        <v>1.8674484964969933</v>
      </c>
      <c r="O71" s="145">
        <f>Table112345[[#This Row],[M (KN.mm)]]/(Table112345[[#This Row],[b (mm)]]*Table112345[[#This Row],[h (mm)]]*Table112345[[#This Row],[L(mm)]])</f>
        <v>4.5950996468922079E-4</v>
      </c>
      <c r="P71" s="145">
        <f>Table112345[[#This Row],[M (KN.mm)]]/(Table112345[[#This Row],[b (mm)]]*Table112345[[#This Row],[d (mm)]]*Table112345[[#This Row],[L(mm)]])</f>
        <v>5.1191022382044771E-4</v>
      </c>
      <c r="Q71" s="145">
        <f>Table112345[[#This Row],[M (KN.mm)]]/(Table112345[[#This Row],[b (mm)]]*Table112345[[#This Row],[h (mm)]]*Table112345[[#This Row],[L(mm)]]*Table112345[[#This Row],[fc (Mpa)]])</f>
        <v>6.7475765739973686E-6</v>
      </c>
      <c r="R71" s="145">
        <f>Table112345[[#This Row],[M (KN.mm)]]/(Table112345[[#This Row],[b (mm)]]*Table112345[[#This Row],[h (mm)]]*Table112345[[#This Row],[L(mm)]]/2)</f>
        <v>9.1901992937844159E-4</v>
      </c>
      <c r="S71" s="145">
        <f>Table112345[[#This Row],[M (KN.mm)]]/(Table112345[[#This Row],[a (mm)]]*Table112345[[#This Row],[b (mm)]]*Table112345[[#This Row],[h (mm)]]*Table112345[[#This Row],[L(mm)]]/2)</f>
        <v>4.5238935622228207E-7</v>
      </c>
      <c r="T71" s="111">
        <f>G71/($AL$5*AH71*0.001*Table112345[[#This Row],[pho (%)]])</f>
        <v>1.1272335391291179E-6</v>
      </c>
      <c r="U71" s="145">
        <f>Table112345[[#This Row],[M (KN.mm)]]/(Table112345[[#This Row],[b (mm)]]*Table112345[[#This Row],[d (mm)]]*Table112345[[#This Row],[pho (%)]])</f>
        <v>1.6003101150817687</v>
      </c>
      <c r="V71" s="111">
        <f>E71*224.8/(2*SQRT(Table112345[[#This Row],[fc (Mpa)]]*145.037)*Table112345[[#This Row],[b (mm)]]*Table112345[[#This Row],[d (mm)]]*(1/25.4)^2)</f>
        <v>0.74723247123627801</v>
      </c>
      <c r="W71" s="111">
        <f>Table112345[[#This Row],[M (KN.mm)]]/$G$76</f>
        <v>0.7547169811320753</v>
      </c>
      <c r="X71" s="110">
        <f t="shared" si="22"/>
        <v>0.74723247123627801</v>
      </c>
      <c r="Y71" s="111">
        <f>2.97*Table112345[[#This Row],[d (mm)]]</f>
        <v>2031.4800000000002</v>
      </c>
      <c r="Z71" s="160">
        <v>684</v>
      </c>
      <c r="AA71" s="160">
        <v>762</v>
      </c>
      <c r="AB71" s="160">
        <v>508</v>
      </c>
      <c r="AC71" s="160">
        <v>68.099999999999994</v>
      </c>
      <c r="AD71" s="160">
        <v>4516</v>
      </c>
      <c r="AE71" s="160">
        <v>1.3</v>
      </c>
      <c r="AF71" s="160">
        <v>525</v>
      </c>
      <c r="AG71" s="111">
        <f>(1/3-0.21*(MIN(Table112345[[#This Row],[b (mm)]],AA71)/MAX(Table112345[[#This Row],[b (mm)]],AA71))*(MIN(Table112345[[#This Row],[b (mm)]],AA71)^4/(12*MAX(Table112345[[#This Row],[b (mm)]],AA71)^4)))*MAX(Table112345[[#This Row],[b (mm)]],AA71)*MIN(Table112345[[#This Row],[b (mm)]],AA71)^3</f>
        <v>33068302099.026169</v>
      </c>
      <c r="AH71" s="111">
        <f>Table112345[[#This Row],[b (mm)]]*AA71^3/12</f>
        <v>18730414152</v>
      </c>
      <c r="AI71" s="160">
        <v>4064</v>
      </c>
      <c r="AK71" s="126"/>
    </row>
    <row r="72" spans="1:39" x14ac:dyDescent="0.25">
      <c r="A72" s="158" t="s">
        <v>100</v>
      </c>
      <c r="B72" s="147">
        <v>9</v>
      </c>
      <c r="C72" s="111">
        <v>71</v>
      </c>
      <c r="D72" s="111">
        <f>Table112345[[#This Row],[a (mm)]]/Table112345[[#This Row],[d (mm)]]</f>
        <v>2.97</v>
      </c>
      <c r="E72" s="111">
        <v>378.08000000000004</v>
      </c>
      <c r="F72" s="137">
        <f>Table112345[[#This Row],[d (mm)]]</f>
        <v>684</v>
      </c>
      <c r="G72" s="135">
        <f t="shared" si="23"/>
        <v>768061.95840000012</v>
      </c>
      <c r="H72" s="135">
        <f t="shared" si="24"/>
        <v>1.5569913259220941E-6</v>
      </c>
      <c r="I72" s="135">
        <f>G72/(Table112345[[#This Row],[b (mm)]]*Z72^2)</f>
        <v>3.231620389556569E-3</v>
      </c>
      <c r="J72" s="135">
        <f t="shared" si="25"/>
        <v>0.47361660129064914</v>
      </c>
      <c r="K72" s="135">
        <f t="shared" si="26"/>
        <v>3.6411800929944879E-7</v>
      </c>
      <c r="L72" s="135">
        <f>E72/(Table112345[[#This Row],[b (mm)]]*Z72)</f>
        <v>1.08808767325137E-3</v>
      </c>
      <c r="M72" s="135">
        <f>Table112345[[#This Row],[M (KN.mm)]]/(Table112345[[#This Row],[b (mm)]]*Table112345[[#This Row],[d (mm)]])</f>
        <v>2.2104283464566934</v>
      </c>
      <c r="N72" s="135">
        <f>Table112345[[#This Row],[M (KN.mm)]]/(Table112345[[#This Row],[b (mm)]]*Table112345[[#This Row],[h (mm)]])</f>
        <v>1.9841640275280554</v>
      </c>
      <c r="O72" s="145">
        <f>Table112345[[#This Row],[M (KN.mm)]]/(Table112345[[#This Row],[b (mm)]]*Table112345[[#This Row],[h (mm)]]*Table112345[[#This Row],[L(mm)]])</f>
        <v>4.8822933748229706E-4</v>
      </c>
      <c r="P72" s="145">
        <f>Table112345[[#This Row],[M (KN.mm)]]/(Table112345[[#This Row],[b (mm)]]*Table112345[[#This Row],[d (mm)]]*Table112345[[#This Row],[L(mm)]])</f>
        <v>5.4390461280922568E-4</v>
      </c>
      <c r="Q72" s="145">
        <f>Table112345[[#This Row],[M (KN.mm)]]/(Table112345[[#This Row],[b (mm)]]*Table112345[[#This Row],[h (mm)]]*Table112345[[#This Row],[L(mm)]]*Table112345[[#This Row],[fc (Mpa)]])</f>
        <v>7.1693001098722046E-6</v>
      </c>
      <c r="R72" s="145">
        <f>Table112345[[#This Row],[M (KN.mm)]]/(Table112345[[#This Row],[b (mm)]]*Table112345[[#This Row],[h (mm)]]*Table112345[[#This Row],[L(mm)]]/2)</f>
        <v>9.7645867496459413E-4</v>
      </c>
      <c r="S72" s="145">
        <f>Table112345[[#This Row],[M (KN.mm)]]/(Table112345[[#This Row],[a (mm)]]*Table112345[[#This Row],[b (mm)]]*Table112345[[#This Row],[h (mm)]]*Table112345[[#This Row],[L(mm)]]/2)</f>
        <v>4.8066369098617464E-7</v>
      </c>
      <c r="T72" s="111">
        <f>G72/($AL$5*AH72*0.001*Table112345[[#This Row],[pho (%)]])</f>
        <v>1.1976856353246879E-6</v>
      </c>
      <c r="U72" s="145">
        <f>Table112345[[#This Row],[M (KN.mm)]]/(Table112345[[#This Row],[b (mm)]]*Table112345[[#This Row],[d (mm)]]*Table112345[[#This Row],[pho (%)]])</f>
        <v>1.7003294972743792</v>
      </c>
      <c r="V72" s="111">
        <f>E72*224.8/(2*SQRT(Table112345[[#This Row],[fc (Mpa)]]*145.037)*Table112345[[#This Row],[b (mm)]]*Table112345[[#This Row],[d (mm)]]*(1/25.4)^2)</f>
        <v>0.79393450068854554</v>
      </c>
      <c r="W72" s="111">
        <f>Table112345[[#This Row],[M (KN.mm)]]/$G$76</f>
        <v>0.80188679245283001</v>
      </c>
      <c r="X72" s="110">
        <f t="shared" si="22"/>
        <v>0.79393450068854554</v>
      </c>
      <c r="Y72" s="111">
        <f>2.97*Table112345[[#This Row],[d (mm)]]</f>
        <v>2031.4800000000002</v>
      </c>
      <c r="Z72" s="160">
        <v>684</v>
      </c>
      <c r="AA72" s="160">
        <v>762</v>
      </c>
      <c r="AB72" s="160">
        <v>508</v>
      </c>
      <c r="AC72" s="160">
        <v>68.099999999999994</v>
      </c>
      <c r="AD72" s="160">
        <v>4516</v>
      </c>
      <c r="AE72" s="160">
        <v>1.3</v>
      </c>
      <c r="AF72" s="160">
        <v>525</v>
      </c>
      <c r="AG72" s="111">
        <f>(1/3-0.21*(MIN(Table112345[[#This Row],[b (mm)]],AA72)/MAX(Table112345[[#This Row],[b (mm)]],AA72))*(MIN(Table112345[[#This Row],[b (mm)]],AA72)^4/(12*MAX(Table112345[[#This Row],[b (mm)]],AA72)^4)))*MAX(Table112345[[#This Row],[b (mm)]],AA72)*MIN(Table112345[[#This Row],[b (mm)]],AA72)^3</f>
        <v>33068302099.026169</v>
      </c>
      <c r="AH72" s="111">
        <f>Table112345[[#This Row],[b (mm)]]*AA72^3/12</f>
        <v>18730414152</v>
      </c>
      <c r="AI72" s="160">
        <v>4064</v>
      </c>
      <c r="AK72" s="126"/>
    </row>
    <row r="73" spans="1:39" x14ac:dyDescent="0.25">
      <c r="A73" s="158" t="s">
        <v>100</v>
      </c>
      <c r="B73" s="147">
        <v>10</v>
      </c>
      <c r="C73" s="111">
        <v>72</v>
      </c>
      <c r="D73" s="111">
        <f>Table112345[[#This Row],[a (mm)]]/Table112345[[#This Row],[d (mm)]]</f>
        <v>2.97</v>
      </c>
      <c r="E73" s="111">
        <v>400.32000000000005</v>
      </c>
      <c r="F73" s="137">
        <f>Table112345[[#This Row],[d (mm)]]</f>
        <v>684</v>
      </c>
      <c r="G73" s="135">
        <f t="shared" si="23"/>
        <v>813242.07360000024</v>
      </c>
      <c r="H73" s="135">
        <f t="shared" si="24"/>
        <v>1.6485790509763353E-6</v>
      </c>
      <c r="I73" s="135">
        <f>G73/(Table112345[[#This Row],[b (mm)]]*Z73^2)</f>
        <v>3.4217157065893089E-3</v>
      </c>
      <c r="J73" s="135">
        <f t="shared" si="25"/>
        <v>0.50147640136656979</v>
      </c>
      <c r="K73" s="135">
        <f t="shared" si="26"/>
        <v>3.8553671572882811E-7</v>
      </c>
      <c r="L73" s="135">
        <f>E73/(Table112345[[#This Row],[b (mm)]]*Z73)</f>
        <v>1.1520928305014506E-3</v>
      </c>
      <c r="M73" s="135">
        <f>Table112345[[#This Row],[M (KN.mm)]]/(Table112345[[#This Row],[b (mm)]]*Table112345[[#This Row],[d (mm)]])</f>
        <v>2.3404535433070874</v>
      </c>
      <c r="N73" s="135">
        <f>Table112345[[#This Row],[M (KN.mm)]]/(Table112345[[#This Row],[b (mm)]]*Table112345[[#This Row],[h (mm)]])</f>
        <v>2.1008795585591176</v>
      </c>
      <c r="O73" s="145">
        <f>Table112345[[#This Row],[M (KN.mm)]]/(Table112345[[#This Row],[b (mm)]]*Table112345[[#This Row],[h (mm)]]*Table112345[[#This Row],[L(mm)]])</f>
        <v>5.1694871027537349E-4</v>
      </c>
      <c r="P73" s="145">
        <f>Table112345[[#This Row],[M (KN.mm)]]/(Table112345[[#This Row],[b (mm)]]*Table112345[[#This Row],[d (mm)]]*Table112345[[#This Row],[L(mm)]])</f>
        <v>5.7589900179800375E-4</v>
      </c>
      <c r="Q73" s="145">
        <f>Table112345[[#This Row],[M (KN.mm)]]/(Table112345[[#This Row],[b (mm)]]*Table112345[[#This Row],[h (mm)]]*Table112345[[#This Row],[L(mm)]]*Table112345[[#This Row],[fc (Mpa)]])</f>
        <v>7.5910236457470407E-6</v>
      </c>
      <c r="R73" s="145">
        <f>Table112345[[#This Row],[M (KN.mm)]]/(Table112345[[#This Row],[b (mm)]]*Table112345[[#This Row],[h (mm)]]*Table112345[[#This Row],[L(mm)]]/2)</f>
        <v>1.033897420550747E-3</v>
      </c>
      <c r="S73" s="145">
        <f>Table112345[[#This Row],[M (KN.mm)]]/(Table112345[[#This Row],[a (mm)]]*Table112345[[#This Row],[b (mm)]]*Table112345[[#This Row],[h (mm)]]*Table112345[[#This Row],[L(mm)]]/2)</f>
        <v>5.0893802575006735E-7</v>
      </c>
      <c r="T73" s="111">
        <f>G73/($AL$5*AH73*0.001*Table112345[[#This Row],[pho (%)]])</f>
        <v>1.268137731520258E-6</v>
      </c>
      <c r="U73" s="145">
        <f>Table112345[[#This Row],[M (KN.mm)]]/(Table112345[[#This Row],[b (mm)]]*Table112345[[#This Row],[d (mm)]]*Table112345[[#This Row],[pho (%)]])</f>
        <v>1.8003488794669902</v>
      </c>
      <c r="V73" s="111">
        <f>E73*224.8/(2*SQRT(Table112345[[#This Row],[fc (Mpa)]]*145.037)*Table112345[[#This Row],[b (mm)]]*Table112345[[#This Row],[d (mm)]]*(1/25.4)^2)</f>
        <v>0.84063653014081285</v>
      </c>
      <c r="W73" s="111">
        <f>Table112345[[#This Row],[M (KN.mm)]]/$G$76</f>
        <v>0.84905660377358483</v>
      </c>
      <c r="X73" s="110">
        <f t="shared" si="22"/>
        <v>0.84063653014081285</v>
      </c>
      <c r="Y73" s="111">
        <f>2.97*Table112345[[#This Row],[d (mm)]]</f>
        <v>2031.4800000000002</v>
      </c>
      <c r="Z73" s="160">
        <v>684</v>
      </c>
      <c r="AA73" s="160">
        <v>762</v>
      </c>
      <c r="AB73" s="160">
        <v>508</v>
      </c>
      <c r="AC73" s="160">
        <v>68.099999999999994</v>
      </c>
      <c r="AD73" s="160">
        <v>4516</v>
      </c>
      <c r="AE73" s="160">
        <v>1.3</v>
      </c>
      <c r="AF73" s="160">
        <v>525</v>
      </c>
      <c r="AG73" s="111">
        <f>(1/3-0.21*(MIN(Table112345[[#This Row],[b (mm)]],AA73)/MAX(Table112345[[#This Row],[b (mm)]],AA73))*(MIN(Table112345[[#This Row],[b (mm)]],AA73)^4/(12*MAX(Table112345[[#This Row],[b (mm)]],AA73)^4)))*MAX(Table112345[[#This Row],[b (mm)]],AA73)*MIN(Table112345[[#This Row],[b (mm)]],AA73)^3</f>
        <v>33068302099.026169</v>
      </c>
      <c r="AH73" s="111">
        <f>Table112345[[#This Row],[b (mm)]]*AA73^3/12</f>
        <v>18730414152</v>
      </c>
      <c r="AI73" s="160">
        <v>4064</v>
      </c>
      <c r="AK73" s="126"/>
    </row>
    <row r="74" spans="1:39" x14ac:dyDescent="0.25">
      <c r="A74" s="158" t="s">
        <v>100</v>
      </c>
      <c r="B74" s="147">
        <v>11</v>
      </c>
      <c r="C74" s="111">
        <v>73</v>
      </c>
      <c r="D74" s="111">
        <f>Table112345[[#This Row],[a (mm)]]/Table112345[[#This Row],[d (mm)]]</f>
        <v>2.97</v>
      </c>
      <c r="E74" s="111">
        <v>422.56000000000006</v>
      </c>
      <c r="F74" s="137">
        <f>Table112345[[#This Row],[d (mm)]]</f>
        <v>684</v>
      </c>
      <c r="G74" s="135">
        <f t="shared" si="23"/>
        <v>858422.18880000024</v>
      </c>
      <c r="H74" s="135">
        <f t="shared" si="24"/>
        <v>1.740166776030576E-6</v>
      </c>
      <c r="I74" s="135">
        <f>G74/(Table112345[[#This Row],[b (mm)]]*Z74^2)</f>
        <v>3.6118110236220483E-3</v>
      </c>
      <c r="J74" s="135">
        <f t="shared" si="25"/>
        <v>0.52933620144249027</v>
      </c>
      <c r="K74" s="135">
        <f t="shared" si="26"/>
        <v>4.0695542215820749E-7</v>
      </c>
      <c r="L74" s="135">
        <f>E74/(Table112345[[#This Row],[b (mm)]]*Z74)</f>
        <v>1.2160979877515311E-3</v>
      </c>
      <c r="M74" s="135">
        <f>Table112345[[#This Row],[M (KN.mm)]]/(Table112345[[#This Row],[b (mm)]]*Table112345[[#This Row],[d (mm)]])</f>
        <v>2.470478740157481</v>
      </c>
      <c r="N74" s="135">
        <f>Table112345[[#This Row],[M (KN.mm)]]/(Table112345[[#This Row],[b (mm)]]*Table112345[[#This Row],[h (mm)]])</f>
        <v>2.2175950895901799</v>
      </c>
      <c r="O74" s="145">
        <f>Table112345[[#This Row],[M (KN.mm)]]/(Table112345[[#This Row],[b (mm)]]*Table112345[[#This Row],[h (mm)]]*Table112345[[#This Row],[L(mm)]])</f>
        <v>5.4566808306844971E-4</v>
      </c>
      <c r="P74" s="145">
        <f>Table112345[[#This Row],[M (KN.mm)]]/(Table112345[[#This Row],[b (mm)]]*Table112345[[#This Row],[d (mm)]]*Table112345[[#This Row],[L(mm)]])</f>
        <v>6.0789339078678171E-4</v>
      </c>
      <c r="Q74" s="145">
        <f>Table112345[[#This Row],[M (KN.mm)]]/(Table112345[[#This Row],[b (mm)]]*Table112345[[#This Row],[h (mm)]]*Table112345[[#This Row],[L(mm)]]*Table112345[[#This Row],[fc (Mpa)]])</f>
        <v>8.0127471816218758E-6</v>
      </c>
      <c r="R74" s="145">
        <f>Table112345[[#This Row],[M (KN.mm)]]/(Table112345[[#This Row],[b (mm)]]*Table112345[[#This Row],[h (mm)]]*Table112345[[#This Row],[L(mm)]]/2)</f>
        <v>1.0913361661368994E-3</v>
      </c>
      <c r="S74" s="145">
        <f>Table112345[[#This Row],[M (KN.mm)]]/(Table112345[[#This Row],[a (mm)]]*Table112345[[#This Row],[b (mm)]]*Table112345[[#This Row],[h (mm)]]*Table112345[[#This Row],[L(mm)]]/2)</f>
        <v>5.3721236051395997E-7</v>
      </c>
      <c r="T74" s="111">
        <f>G74/($AL$5*AH74*0.001*Table112345[[#This Row],[pho (%)]])</f>
        <v>1.3385898277158278E-6</v>
      </c>
      <c r="U74" s="145">
        <f>Table112345[[#This Row],[M (KN.mm)]]/(Table112345[[#This Row],[b (mm)]]*Table112345[[#This Row],[d (mm)]]*Table112345[[#This Row],[pho (%)]])</f>
        <v>1.9003682616596007</v>
      </c>
      <c r="V74" s="111">
        <f>E74*224.8/(2*SQRT(Table112345[[#This Row],[fc (Mpa)]]*145.037)*Table112345[[#This Row],[b (mm)]]*Table112345[[#This Row],[d (mm)]]*(1/25.4)^2)</f>
        <v>0.88733855959308017</v>
      </c>
      <c r="W74" s="111">
        <f>Table112345[[#This Row],[M (KN.mm)]]/$G$76</f>
        <v>0.89622641509433953</v>
      </c>
      <c r="X74" s="110">
        <f t="shared" si="22"/>
        <v>0.88733855959308017</v>
      </c>
      <c r="Y74" s="111">
        <f>2.97*Table112345[[#This Row],[d (mm)]]</f>
        <v>2031.4800000000002</v>
      </c>
      <c r="Z74" s="160">
        <v>684</v>
      </c>
      <c r="AA74" s="160">
        <v>762</v>
      </c>
      <c r="AB74" s="160">
        <v>508</v>
      </c>
      <c r="AC74" s="160">
        <v>68.099999999999994</v>
      </c>
      <c r="AD74" s="160">
        <v>4516</v>
      </c>
      <c r="AE74" s="160">
        <v>1.3</v>
      </c>
      <c r="AF74" s="160">
        <v>525</v>
      </c>
      <c r="AG74" s="111">
        <f>(1/3-0.21*(MIN(Table112345[[#This Row],[b (mm)]],AA74)/MAX(Table112345[[#This Row],[b (mm)]],AA74))*(MIN(Table112345[[#This Row],[b (mm)]],AA74)^4/(12*MAX(Table112345[[#This Row],[b (mm)]],AA74)^4)))*MAX(Table112345[[#This Row],[b (mm)]],AA74)*MIN(Table112345[[#This Row],[b (mm)]],AA74)^3</f>
        <v>33068302099.026169</v>
      </c>
      <c r="AH74" s="111">
        <f>Table112345[[#This Row],[b (mm)]]*AA74^3/12</f>
        <v>18730414152</v>
      </c>
      <c r="AI74" s="160">
        <v>4064</v>
      </c>
      <c r="AK74" s="126"/>
    </row>
    <row r="75" spans="1:39" x14ac:dyDescent="0.25">
      <c r="A75" s="158" t="s">
        <v>100</v>
      </c>
      <c r="B75" s="147">
        <v>12</v>
      </c>
      <c r="C75" s="111">
        <v>74</v>
      </c>
      <c r="D75" s="111">
        <f>Table112345[[#This Row],[a (mm)]]/Table112345[[#This Row],[d (mm)]]</f>
        <v>2.97</v>
      </c>
      <c r="E75" s="111">
        <v>444.80000000000007</v>
      </c>
      <c r="F75" s="137">
        <f>Table112345[[#This Row],[d (mm)]]</f>
        <v>684</v>
      </c>
      <c r="G75" s="135">
        <f t="shared" si="23"/>
        <v>903602.30400000024</v>
      </c>
      <c r="H75" s="135">
        <f t="shared" si="24"/>
        <v>1.8317545010848168E-6</v>
      </c>
      <c r="I75" s="135">
        <f>G75/(Table112345[[#This Row],[b (mm)]]*Z75^2)</f>
        <v>3.8019063406547877E-3</v>
      </c>
      <c r="J75" s="135">
        <f t="shared" si="25"/>
        <v>0.55719600151841087</v>
      </c>
      <c r="K75" s="135">
        <f t="shared" si="26"/>
        <v>4.2837412858758682E-7</v>
      </c>
      <c r="L75" s="135">
        <f>E75/(Table112345[[#This Row],[b (mm)]]*Z75)</f>
        <v>1.2801031450016117E-3</v>
      </c>
      <c r="M75" s="135">
        <f>Table112345[[#This Row],[M (KN.mm)]]/(Table112345[[#This Row],[b (mm)]]*Table112345[[#This Row],[d (mm)]])</f>
        <v>2.6005039370078746</v>
      </c>
      <c r="N75" s="135">
        <f>Table112345[[#This Row],[M (KN.mm)]]/(Table112345[[#This Row],[b (mm)]]*Table112345[[#This Row],[h (mm)]])</f>
        <v>2.3343106206212418</v>
      </c>
      <c r="O75" s="145">
        <f>Table112345[[#This Row],[M (KN.mm)]]/(Table112345[[#This Row],[b (mm)]]*Table112345[[#This Row],[h (mm)]]*Table112345[[#This Row],[L(mm)]])</f>
        <v>5.7438745586152603E-4</v>
      </c>
      <c r="P75" s="145">
        <f>Table112345[[#This Row],[M (KN.mm)]]/(Table112345[[#This Row],[b (mm)]]*Table112345[[#This Row],[d (mm)]]*Table112345[[#This Row],[L(mm)]])</f>
        <v>6.3988777977555967E-4</v>
      </c>
      <c r="Q75" s="145">
        <f>Table112345[[#This Row],[M (KN.mm)]]/(Table112345[[#This Row],[b (mm)]]*Table112345[[#This Row],[h (mm)]]*Table112345[[#This Row],[L(mm)]]*Table112345[[#This Row],[fc (Mpa)]])</f>
        <v>8.4344707174967118E-6</v>
      </c>
      <c r="R75" s="145">
        <f>Table112345[[#This Row],[M (KN.mm)]]/(Table112345[[#This Row],[b (mm)]]*Table112345[[#This Row],[h (mm)]]*Table112345[[#This Row],[L(mm)]]/2)</f>
        <v>1.1487749117230521E-3</v>
      </c>
      <c r="S75" s="145">
        <f>Table112345[[#This Row],[M (KN.mm)]]/(Table112345[[#This Row],[a (mm)]]*Table112345[[#This Row],[b (mm)]]*Table112345[[#This Row],[h (mm)]]*Table112345[[#This Row],[L(mm)]]/2)</f>
        <v>5.6548669527785258E-7</v>
      </c>
      <c r="T75" s="111">
        <f>G75/($AL$5*AH75*0.001*Table112345[[#This Row],[pho (%)]])</f>
        <v>1.4090419239113976E-6</v>
      </c>
      <c r="U75" s="145">
        <f>Table112345[[#This Row],[M (KN.mm)]]/(Table112345[[#This Row],[b (mm)]]*Table112345[[#This Row],[d (mm)]]*Table112345[[#This Row],[pho (%)]])</f>
        <v>2.000387643852211</v>
      </c>
      <c r="V75" s="111">
        <f>E75*224.8/(2*SQRT(Table112345[[#This Row],[fc (Mpa)]]*145.037)*Table112345[[#This Row],[b (mm)]]*Table112345[[#This Row],[d (mm)]]*(1/25.4)^2)</f>
        <v>0.93404058904534759</v>
      </c>
      <c r="W75" s="111">
        <f>Table112345[[#This Row],[M (KN.mm)]]/$G$76</f>
        <v>0.94339622641509424</v>
      </c>
      <c r="X75" s="110">
        <f t="shared" si="22"/>
        <v>0.93404058904534759</v>
      </c>
      <c r="Y75" s="111">
        <f>2.97*Table112345[[#This Row],[d (mm)]]</f>
        <v>2031.4800000000002</v>
      </c>
      <c r="Z75" s="160">
        <v>684</v>
      </c>
      <c r="AA75" s="160">
        <v>762</v>
      </c>
      <c r="AB75" s="160">
        <v>508</v>
      </c>
      <c r="AC75" s="160">
        <v>68.099999999999994</v>
      </c>
      <c r="AD75" s="160">
        <v>4516</v>
      </c>
      <c r="AE75" s="160">
        <v>1.3</v>
      </c>
      <c r="AF75" s="160">
        <v>525</v>
      </c>
      <c r="AG75" s="111">
        <f>(1/3-0.21*(MIN(Table112345[[#This Row],[b (mm)]],AA75)/MAX(Table112345[[#This Row],[b (mm)]],AA75))*(MIN(Table112345[[#This Row],[b (mm)]],AA75)^4/(12*MAX(Table112345[[#This Row],[b (mm)]],AA75)^4)))*MAX(Table112345[[#This Row],[b (mm)]],AA75)*MIN(Table112345[[#This Row],[b (mm)]],AA75)^3</f>
        <v>33068302099.026169</v>
      </c>
      <c r="AH75" s="111">
        <f>Table112345[[#This Row],[b (mm)]]*AA75^3/12</f>
        <v>18730414152</v>
      </c>
      <c r="AI75" s="160">
        <v>4064</v>
      </c>
      <c r="AK75" s="126"/>
    </row>
    <row r="76" spans="1:39" x14ac:dyDescent="0.25">
      <c r="A76" s="158" t="s">
        <v>100</v>
      </c>
      <c r="B76" s="147" t="s">
        <v>92</v>
      </c>
      <c r="C76" s="111">
        <v>75</v>
      </c>
      <c r="D76" s="111">
        <f>Table112345[[#This Row],[a (mm)]]/Table112345[[#This Row],[d (mm)]]</f>
        <v>2.97</v>
      </c>
      <c r="E76" s="166">
        <v>471.48800000000011</v>
      </c>
      <c r="F76" s="137">
        <f>Table112345[[#This Row],[d (mm)]]</f>
        <v>684</v>
      </c>
      <c r="G76" s="135">
        <f t="shared" si="23"/>
        <v>957818.44224000035</v>
      </c>
      <c r="H76" s="135">
        <f t="shared" si="24"/>
        <v>1.941659771149906E-6</v>
      </c>
      <c r="I76" s="135">
        <f>G76/(Table112345[[#This Row],[b (mm)]]*Z76^2)</f>
        <v>4.0300207210940756E-3</v>
      </c>
      <c r="J76" s="135">
        <f t="shared" si="25"/>
        <v>0.59062776160951558</v>
      </c>
      <c r="K76" s="135">
        <f t="shared" si="26"/>
        <v>4.5407657630284209E-7</v>
      </c>
      <c r="L76" s="135">
        <f>E76/(Table112345[[#This Row],[b (mm)]]*Z76)</f>
        <v>1.3569093337017087E-3</v>
      </c>
      <c r="M76" s="135">
        <f>Table112345[[#This Row],[M (KN.mm)]]/(Table112345[[#This Row],[b (mm)]]*Table112345[[#This Row],[d (mm)]])</f>
        <v>2.7565341732283475</v>
      </c>
      <c r="N76" s="135">
        <f>Table112345[[#This Row],[M (KN.mm)]]/(Table112345[[#This Row],[b (mm)]]*Table112345[[#This Row],[h (mm)]])</f>
        <v>2.4743692578585166</v>
      </c>
      <c r="O76" s="145">
        <f>Table112345[[#This Row],[M (KN.mm)]]/(Table112345[[#This Row],[b (mm)]]*Table112345[[#This Row],[h (mm)]]*Table112345[[#This Row],[L(mm)]])</f>
        <v>6.0885070321321766E-4</v>
      </c>
      <c r="P76" s="145">
        <f>Table112345[[#This Row],[M (KN.mm)]]/(Table112345[[#This Row],[b (mm)]]*Table112345[[#This Row],[d (mm)]]*Table112345[[#This Row],[L(mm)]])</f>
        <v>6.7828104656209335E-4</v>
      </c>
      <c r="Q76" s="145">
        <f>Table112345[[#This Row],[M (KN.mm)]]/(Table112345[[#This Row],[b (mm)]]*Table112345[[#This Row],[h (mm)]]*Table112345[[#This Row],[L(mm)]]*Table112345[[#This Row],[fc (Mpa)]])</f>
        <v>8.9405389605465151E-6</v>
      </c>
      <c r="R76" s="145">
        <f>Table112345[[#This Row],[M (KN.mm)]]/(Table112345[[#This Row],[b (mm)]]*Table112345[[#This Row],[h (mm)]]*Table112345[[#This Row],[L(mm)]]/2)</f>
        <v>1.2177014064264353E-3</v>
      </c>
      <c r="S76" s="145">
        <f>Table112345[[#This Row],[M (KN.mm)]]/(Table112345[[#This Row],[a (mm)]]*Table112345[[#This Row],[b (mm)]]*Table112345[[#This Row],[h (mm)]]*Table112345[[#This Row],[L(mm)]]/2)</f>
        <v>5.9941589699452382E-7</v>
      </c>
      <c r="T76" s="111">
        <f>G76/($AL$5*AH76*0.001*Table112345[[#This Row],[pho (%)]])</f>
        <v>1.4935844393460815E-6</v>
      </c>
      <c r="U76" s="145">
        <f>Table112345[[#This Row],[M (KN.mm)]]/(Table112345[[#This Row],[b (mm)]]*Table112345[[#This Row],[d (mm)]]*Table112345[[#This Row],[pho (%)]])</f>
        <v>2.1204109024833442</v>
      </c>
      <c r="V76" s="111">
        <f>E76*224.8/(2*SQRT(Table112345[[#This Row],[fc (Mpa)]]*145.037)*Table112345[[#This Row],[b (mm)]]*Table112345[[#This Row],[d (mm)]]*(1/25.4)^2)</f>
        <v>0.9900830243880685</v>
      </c>
      <c r="W76" s="111">
        <f>Table112345[[#This Row],[M (KN.mm)]]/$G$76</f>
        <v>1</v>
      </c>
      <c r="X76" s="110">
        <f t="shared" si="22"/>
        <v>0.9900830243880685</v>
      </c>
      <c r="Y76" s="111">
        <f>2.97*Table112345[[#This Row],[d (mm)]]</f>
        <v>2031.4800000000002</v>
      </c>
      <c r="Z76" s="160">
        <v>684</v>
      </c>
      <c r="AA76" s="160">
        <v>762</v>
      </c>
      <c r="AB76" s="160">
        <v>508</v>
      </c>
      <c r="AC76" s="160">
        <v>68.099999999999994</v>
      </c>
      <c r="AD76" s="160">
        <v>4516</v>
      </c>
      <c r="AE76" s="160">
        <v>1.3</v>
      </c>
      <c r="AF76" s="160">
        <v>525</v>
      </c>
      <c r="AG76" s="111">
        <f>(1/3-0.21*(MIN(Table112345[[#This Row],[b (mm)]],AA76)/MAX(Table112345[[#This Row],[b (mm)]],AA76))*(MIN(Table112345[[#This Row],[b (mm)]],AA76)^4/(12*MAX(Table112345[[#This Row],[b (mm)]],AA76)^4)))*MAX(Table112345[[#This Row],[b (mm)]],AA76)*MIN(Table112345[[#This Row],[b (mm)]],AA76)^3</f>
        <v>33068302099.026169</v>
      </c>
      <c r="AH76" s="111">
        <f>Table112345[[#This Row],[b (mm)]]*AA76^3/12</f>
        <v>18730414152</v>
      </c>
      <c r="AI76" s="160">
        <v>4064</v>
      </c>
      <c r="AK76" s="126"/>
    </row>
    <row r="77" spans="1:39" x14ac:dyDescent="0.25">
      <c r="A77" s="158" t="s">
        <v>100</v>
      </c>
      <c r="B77" s="147" t="s">
        <v>93</v>
      </c>
      <c r="C77" s="111">
        <v>76</v>
      </c>
      <c r="D77" s="111">
        <f>Table112345[[#This Row],[a (mm)]]/Table112345[[#This Row],[d (mm)]]</f>
        <v>2.97</v>
      </c>
      <c r="E77" s="166">
        <v>471.48800000000011</v>
      </c>
      <c r="F77" s="137">
        <f>Table112345[[#This Row],[d (mm)]]</f>
        <v>684</v>
      </c>
      <c r="G77" s="135">
        <f t="shared" si="23"/>
        <v>957818.44224000035</v>
      </c>
      <c r="H77" s="135">
        <f t="shared" si="24"/>
        <v>1.941659771149906E-6</v>
      </c>
      <c r="I77" s="135">
        <f>G77/(Table112345[[#This Row],[b (mm)]]*Z77^2)</f>
        <v>4.0300207210940756E-3</v>
      </c>
      <c r="J77" s="135">
        <f t="shared" si="25"/>
        <v>0.59062776160951558</v>
      </c>
      <c r="K77" s="135">
        <f t="shared" si="26"/>
        <v>4.5407657630284209E-7</v>
      </c>
      <c r="L77" s="135">
        <f>E77/(Table112345[[#This Row],[b (mm)]]*Z77)</f>
        <v>1.3569093337017087E-3</v>
      </c>
      <c r="M77" s="135">
        <f>Table112345[[#This Row],[M (KN.mm)]]/(Table112345[[#This Row],[b (mm)]]*Table112345[[#This Row],[d (mm)]])</f>
        <v>2.7565341732283475</v>
      </c>
      <c r="N77" s="135">
        <f>Table112345[[#This Row],[M (KN.mm)]]/(Table112345[[#This Row],[b (mm)]]*Table112345[[#This Row],[h (mm)]])</f>
        <v>2.4743692578585166</v>
      </c>
      <c r="O77" s="145">
        <f>Table112345[[#This Row],[M (KN.mm)]]/(Table112345[[#This Row],[b (mm)]]*Table112345[[#This Row],[h (mm)]]*Table112345[[#This Row],[L(mm)]])</f>
        <v>6.0885070321321766E-4</v>
      </c>
      <c r="P77" s="145">
        <f>Table112345[[#This Row],[M (KN.mm)]]/(Table112345[[#This Row],[b (mm)]]*Table112345[[#This Row],[d (mm)]]*Table112345[[#This Row],[L(mm)]])</f>
        <v>6.7828104656209335E-4</v>
      </c>
      <c r="Q77" s="145">
        <f>Table112345[[#This Row],[M (KN.mm)]]/(Table112345[[#This Row],[b (mm)]]*Table112345[[#This Row],[h (mm)]]*Table112345[[#This Row],[L(mm)]]*Table112345[[#This Row],[fc (Mpa)]])</f>
        <v>8.9405389605465151E-6</v>
      </c>
      <c r="R77" s="145">
        <f>Table112345[[#This Row],[M (KN.mm)]]/(Table112345[[#This Row],[b (mm)]]*Table112345[[#This Row],[h (mm)]]*Table112345[[#This Row],[L(mm)]]/2)</f>
        <v>1.2177014064264353E-3</v>
      </c>
      <c r="S77" s="145">
        <f>Table112345[[#This Row],[M (KN.mm)]]/(Table112345[[#This Row],[a (mm)]]*Table112345[[#This Row],[b (mm)]]*Table112345[[#This Row],[h (mm)]]*Table112345[[#This Row],[L(mm)]]/2)</f>
        <v>5.9941589699452382E-7</v>
      </c>
      <c r="T77" s="111">
        <f>G77/($AL$5*AH77*0.001*Table112345[[#This Row],[pho (%)]])</f>
        <v>1.4935844393460815E-6</v>
      </c>
      <c r="U77" s="145">
        <f>Table112345[[#This Row],[M (KN.mm)]]/(Table112345[[#This Row],[b (mm)]]*Table112345[[#This Row],[d (mm)]]*Table112345[[#This Row],[pho (%)]])</f>
        <v>2.1204109024833442</v>
      </c>
      <c r="V77" s="111">
        <f>E77*224.8/(2*SQRT(Table112345[[#This Row],[fc (Mpa)]]*145.037)*Table112345[[#This Row],[b (mm)]]*Table112345[[#This Row],[d (mm)]]*(1/25.4)^2)</f>
        <v>0.9900830243880685</v>
      </c>
      <c r="W77" s="111">
        <f>Table112345[[#This Row],[M (KN.mm)]]/$G$76</f>
        <v>1</v>
      </c>
      <c r="X77" s="110">
        <f t="shared" si="22"/>
        <v>0.9900830243880685</v>
      </c>
      <c r="Y77" s="111">
        <f>2.97*Table112345[[#This Row],[d (mm)]]</f>
        <v>2031.4800000000002</v>
      </c>
      <c r="Z77" s="160">
        <v>684</v>
      </c>
      <c r="AA77" s="160">
        <v>762</v>
      </c>
      <c r="AB77" s="160">
        <v>508</v>
      </c>
      <c r="AC77" s="160">
        <v>68.099999999999994</v>
      </c>
      <c r="AD77" s="160">
        <v>4516</v>
      </c>
      <c r="AE77" s="160">
        <v>1.3</v>
      </c>
      <c r="AF77" s="160">
        <v>525</v>
      </c>
      <c r="AG77" s="111">
        <f>(1/3-0.21*(MIN(Table112345[[#This Row],[b (mm)]],AA77)/MAX(Table112345[[#This Row],[b (mm)]],AA77))*(MIN(Table112345[[#This Row],[b (mm)]],AA77)^4/(12*MAX(Table112345[[#This Row],[b (mm)]],AA77)^4)))*MAX(Table112345[[#This Row],[b (mm)]],AA77)*MIN(Table112345[[#This Row],[b (mm)]],AA77)^3</f>
        <v>33068302099.026169</v>
      </c>
      <c r="AH77" s="111">
        <f>Table112345[[#This Row],[b (mm)]]*AA77^3/12</f>
        <v>18730414152</v>
      </c>
      <c r="AI77" s="160">
        <v>4064</v>
      </c>
      <c r="AK77" s="126"/>
    </row>
    <row r="78" spans="1:39" x14ac:dyDescent="0.25">
      <c r="A78" s="159" t="s">
        <v>101</v>
      </c>
      <c r="B78" s="150">
        <v>1</v>
      </c>
      <c r="C78" s="111">
        <v>77</v>
      </c>
      <c r="D78" s="111">
        <f>Table112345[[#This Row],[a (mm)]]/Table112345[[#This Row],[d (mm)]]</f>
        <v>3</v>
      </c>
      <c r="E78" s="111">
        <v>351.39200000000005</v>
      </c>
      <c r="F78" s="137">
        <f>Table112345[[#This Row],[d (mm)]]</f>
        <v>822</v>
      </c>
      <c r="G78" s="135">
        <f>E78*Y78</f>
        <v>866532.67200000014</v>
      </c>
      <c r="H78" s="135">
        <f>G78/($AL$5*AH78*0.001)</f>
        <v>8.4353759767097054E-7</v>
      </c>
      <c r="I78" s="135">
        <f>G78/(Table112345[[#This Row],[b (mm)]]*Z78^2)</f>
        <v>2.0920922589633371E-3</v>
      </c>
      <c r="J78" s="135">
        <f>G78/(AD78*AF78*Z78*0.001)</f>
        <v>0.30632407104718323</v>
      </c>
      <c r="K78" s="135">
        <f>E78/($AL$4*AG78*0.001)</f>
        <v>1.6060567719774979E-7</v>
      </c>
      <c r="L78" s="135">
        <f>E78/(Table112345[[#This Row],[b (mm)]]*Z78)</f>
        <v>6.9736408632111238E-4</v>
      </c>
      <c r="M78" s="135">
        <f>Table112345[[#This Row],[M (KN.mm)]]/(Table112345[[#This Row],[b (mm)]]*Table112345[[#This Row],[d (mm)]])</f>
        <v>1.7196998368678633</v>
      </c>
      <c r="N78" s="135">
        <f>Table112345[[#This Row],[M (KN.mm)]]/(Table112345[[#This Row],[b (mm)]]*Table112345[[#This Row],[h (mm)]])</f>
        <v>1.5466009473800695</v>
      </c>
      <c r="O78" s="145">
        <f>Table112345[[#This Row],[M (KN.mm)]]/(Table112345[[#This Row],[b (mm)]]*Table112345[[#This Row],[h (mm)]]*Table112345[[#This Row],[L(mm)]])</f>
        <v>3.13839477958618E-4</v>
      </c>
      <c r="P78" s="145">
        <f>Table112345[[#This Row],[M (KN.mm)]]/(Table112345[[#This Row],[b (mm)]]*Table112345[[#This Row],[d (mm)]]*Table112345[[#This Row],[L(mm)]])</f>
        <v>3.4896506429948524E-4</v>
      </c>
      <c r="Q78" s="145">
        <f>Table112345[[#This Row],[M (KN.mm)]]/(Table112345[[#This Row],[b (mm)]]*Table112345[[#This Row],[h (mm)]]*Table112345[[#This Row],[L(mm)]]*Table112345[[#This Row],[fc (Mpa)]])</f>
        <v>4.3050682847547049E-6</v>
      </c>
      <c r="R78" s="145">
        <f>Table112345[[#This Row],[M (KN.mm)]]/(Table112345[[#This Row],[b (mm)]]*Table112345[[#This Row],[h (mm)]]*Table112345[[#This Row],[L(mm)]]/2)</f>
        <v>6.27678955917236E-4</v>
      </c>
      <c r="S78" s="145">
        <f>Table112345[[#This Row],[M (KN.mm)]]/(Table112345[[#This Row],[a (mm)]]*Table112345[[#This Row],[b (mm)]]*Table112345[[#This Row],[h (mm)]]*Table112345[[#This Row],[L(mm)]]/2)</f>
        <v>2.545332343541103E-7</v>
      </c>
      <c r="T78" s="111">
        <f>G78/($AL$5*AH78*0.001*Table112345[[#This Row],[pho (%)]])</f>
        <v>6.4887507513151568E-7</v>
      </c>
      <c r="U78" s="145">
        <f>Table112345[[#This Row],[M (KN.mm)]]/(Table112345[[#This Row],[b (mm)]]*Table112345[[#This Row],[d (mm)]]*Table112345[[#This Row],[pho (%)]])</f>
        <v>1.3228460283598946</v>
      </c>
      <c r="V78" s="111">
        <f>E78*224.8/(2*SQRT(Table112345[[#This Row],[fc (Mpa)]]*145.037)*Table112345[[#This Row],[b (mm)]]*Table112345[[#This Row],[d (mm)]]*(1/25.4)^2)</f>
        <v>0.49180184547436118</v>
      </c>
      <c r="W78" s="111">
        <f>Table112345[[#This Row],[M (KN.mm)]]/$G$88</f>
        <v>0.53226170108356874</v>
      </c>
      <c r="X78" s="110">
        <f t="shared" si="22"/>
        <v>0.49180184547436118</v>
      </c>
      <c r="Y78" s="111">
        <f>3*Table112345[[#This Row],[d (mm)]]</f>
        <v>2466</v>
      </c>
      <c r="Z78" s="160">
        <v>822</v>
      </c>
      <c r="AA78" s="160">
        <v>914</v>
      </c>
      <c r="AB78" s="160">
        <v>613</v>
      </c>
      <c r="AC78" s="160">
        <v>72.900000000000006</v>
      </c>
      <c r="AD78" s="160">
        <v>6555</v>
      </c>
      <c r="AE78" s="160">
        <v>1.3</v>
      </c>
      <c r="AF78" s="160">
        <v>525</v>
      </c>
      <c r="AG78" s="111">
        <f>(1/3-0.21*(MIN(Table112345[[#This Row],[b (mm)]],AA78)/MAX(Table112345[[#This Row],[b (mm)]],AA78))*(MIN(Table112345[[#This Row],[b (mm)]],AA78)^4/(12*MAX(Table112345[[#This Row],[b (mm)]],AA78)^4)))*MAX(Table112345[[#This Row],[b (mm)]],AA78)*MIN(Table112345[[#This Row],[b (mm)]],AA78)^3</f>
        <v>69678906877.611313</v>
      </c>
      <c r="AH78" s="111">
        <f>Table112345[[#This Row],[b (mm)]]*AA78^3/12</f>
        <v>39004778472.666664</v>
      </c>
      <c r="AI78" s="160">
        <v>4928</v>
      </c>
      <c r="AK78" s="149"/>
      <c r="AL78" s="139"/>
      <c r="AM78" s="139"/>
    </row>
    <row r="79" spans="1:39" x14ac:dyDescent="0.25">
      <c r="A79" s="159" t="s">
        <v>101</v>
      </c>
      <c r="B79" s="150">
        <v>2</v>
      </c>
      <c r="C79" s="111">
        <v>78</v>
      </c>
      <c r="D79" s="111">
        <f>Table112345[[#This Row],[a (mm)]]/Table112345[[#This Row],[d (mm)]]</f>
        <v>3</v>
      </c>
      <c r="E79" s="111">
        <v>378.08000000000004</v>
      </c>
      <c r="F79" s="137">
        <f>Table112345[[#This Row],[d (mm)]]</f>
        <v>822</v>
      </c>
      <c r="G79" s="135">
        <f t="shared" ref="G79:G89" si="27">E79*Y79</f>
        <v>932345.28000000014</v>
      </c>
      <c r="H79" s="135">
        <f t="shared" ref="H79:H89" si="28">G79/($AL$5*AH79*0.001)</f>
        <v>9.0760374432952517E-7</v>
      </c>
      <c r="I79" s="135">
        <f>G79/(Table112345[[#This Row],[b (mm)]]*Z79^2)</f>
        <v>2.250985341922578E-3</v>
      </c>
      <c r="J79" s="135">
        <f t="shared" ref="J79:J89" si="29">G79/(AD79*AF79*Z79*0.001)</f>
        <v>0.32958919036722245</v>
      </c>
      <c r="K79" s="135">
        <f t="shared" ref="K79:K89" si="30">E79/($AL$4*AG79*0.001)</f>
        <v>1.7280357673175609E-7</v>
      </c>
      <c r="L79" s="135">
        <f>E79/(Table112345[[#This Row],[b (mm)]]*Z79)</f>
        <v>7.5032844730752596E-4</v>
      </c>
      <c r="M79" s="135">
        <f>Table112345[[#This Row],[M (KN.mm)]]/(Table112345[[#This Row],[b (mm)]]*Table112345[[#This Row],[d (mm)]])</f>
        <v>1.8503099510603591</v>
      </c>
      <c r="N79" s="135">
        <f>Table112345[[#This Row],[M (KN.mm)]]/(Table112345[[#This Row],[b (mm)]]*Table112345[[#This Row],[h (mm)]])</f>
        <v>1.6640643104722268</v>
      </c>
      <c r="O79" s="145">
        <f>Table112345[[#This Row],[M (KN.mm)]]/(Table112345[[#This Row],[b (mm)]]*Table112345[[#This Row],[h (mm)]]*Table112345[[#This Row],[L(mm)]])</f>
        <v>3.3767538767699409E-4</v>
      </c>
      <c r="P79" s="145">
        <f>Table112345[[#This Row],[M (KN.mm)]]/(Table112345[[#This Row],[b (mm)]]*Table112345[[#This Row],[d (mm)]]*Table112345[[#This Row],[L(mm)]])</f>
        <v>3.7546874006906642E-4</v>
      </c>
      <c r="Q79" s="145">
        <f>Table112345[[#This Row],[M (KN.mm)]]/(Table112345[[#This Row],[b (mm)]]*Table112345[[#This Row],[h (mm)]]*Table112345[[#This Row],[L(mm)]]*Table112345[[#This Row],[fc (Mpa)]])</f>
        <v>4.6320354962550618E-6</v>
      </c>
      <c r="R79" s="145">
        <f>Table112345[[#This Row],[M (KN.mm)]]/(Table112345[[#This Row],[b (mm)]]*Table112345[[#This Row],[h (mm)]]*Table112345[[#This Row],[L(mm)]]/2)</f>
        <v>6.7535077535398817E-4</v>
      </c>
      <c r="S79" s="145">
        <f>Table112345[[#This Row],[M (KN.mm)]]/(Table112345[[#This Row],[a (mm)]]*Table112345[[#This Row],[b (mm)]]*Table112345[[#This Row],[h (mm)]]*Table112345[[#This Row],[L(mm)]]/2)</f>
        <v>2.7386487240632121E-7</v>
      </c>
      <c r="T79" s="111">
        <f>G79/($AL$5*AH79*0.001*Table112345[[#This Row],[pho (%)]])</f>
        <v>6.9815672640732701E-7</v>
      </c>
      <c r="U79" s="145">
        <f>Table112345[[#This Row],[M (KN.mm)]]/(Table112345[[#This Row],[b (mm)]]*Table112345[[#This Row],[d (mm)]]*Table112345[[#This Row],[pho (%)]])</f>
        <v>1.423315346969507</v>
      </c>
      <c r="V79" s="111">
        <f>E79*224.8/(2*SQRT(Table112345[[#This Row],[fc (Mpa)]]*145.037)*Table112345[[#This Row],[b (mm)]]*Table112345[[#This Row],[d (mm)]]*(1/25.4)^2)</f>
        <v>0.52915388437114808</v>
      </c>
      <c r="W79" s="111">
        <f>Table112345[[#This Row],[M (KN.mm)]]/$G$88</f>
        <v>0.57268664040637152</v>
      </c>
      <c r="X79" s="110">
        <f t="shared" si="22"/>
        <v>0.52915388437114808</v>
      </c>
      <c r="Y79" s="111">
        <f>3*Table112345[[#This Row],[d (mm)]]</f>
        <v>2466</v>
      </c>
      <c r="Z79" s="160">
        <v>822</v>
      </c>
      <c r="AA79" s="160">
        <v>914</v>
      </c>
      <c r="AB79" s="160">
        <v>613</v>
      </c>
      <c r="AC79" s="160">
        <v>72.900000000000006</v>
      </c>
      <c r="AD79" s="160">
        <v>6555</v>
      </c>
      <c r="AE79" s="160">
        <v>1.3</v>
      </c>
      <c r="AF79" s="160">
        <v>525</v>
      </c>
      <c r="AG79" s="111">
        <f>(1/3-0.21*(MIN(Table112345[[#This Row],[b (mm)]],AA79)/MAX(Table112345[[#This Row],[b (mm)]],AA79))*(MIN(Table112345[[#This Row],[b (mm)]],AA79)^4/(12*MAX(Table112345[[#This Row],[b (mm)]],AA79)^4)))*MAX(Table112345[[#This Row],[b (mm)]],AA79)*MIN(Table112345[[#This Row],[b (mm)]],AA79)^3</f>
        <v>69678906877.611313</v>
      </c>
      <c r="AH79" s="111">
        <f>Table112345[[#This Row],[b (mm)]]*AA79^3/12</f>
        <v>39004778472.666664</v>
      </c>
      <c r="AI79" s="160">
        <v>4928</v>
      </c>
      <c r="AK79" s="126"/>
    </row>
    <row r="80" spans="1:39" x14ac:dyDescent="0.25">
      <c r="A80" s="159" t="s">
        <v>101</v>
      </c>
      <c r="B80" s="150">
        <v>3</v>
      </c>
      <c r="C80" s="111">
        <v>79</v>
      </c>
      <c r="D80" s="111">
        <f>Table112345[[#This Row],[a (mm)]]/Table112345[[#This Row],[d (mm)]]</f>
        <v>3</v>
      </c>
      <c r="E80" s="111">
        <v>400.32000000000005</v>
      </c>
      <c r="F80" s="137">
        <f>Table112345[[#This Row],[d (mm)]]</f>
        <v>822</v>
      </c>
      <c r="G80" s="135">
        <f t="shared" si="27"/>
        <v>987189.12000000011</v>
      </c>
      <c r="H80" s="135">
        <f t="shared" si="28"/>
        <v>9.6099219987832082E-7</v>
      </c>
      <c r="I80" s="135">
        <f>G80/(Table112345[[#This Row],[b (mm)]]*Z80^2)</f>
        <v>2.3833962443886121E-3</v>
      </c>
      <c r="J80" s="135">
        <f t="shared" si="29"/>
        <v>0.34897678980058849</v>
      </c>
      <c r="K80" s="135">
        <f t="shared" si="30"/>
        <v>1.8296849301009469E-7</v>
      </c>
      <c r="L80" s="135">
        <f>E80/(Table112345[[#This Row],[b (mm)]]*Z80)</f>
        <v>7.9446541479620395E-4</v>
      </c>
      <c r="M80" s="135">
        <f>Table112345[[#This Row],[M (KN.mm)]]/(Table112345[[#This Row],[b (mm)]]*Table112345[[#This Row],[d (mm)]])</f>
        <v>1.9591517128874389</v>
      </c>
      <c r="N80" s="135">
        <f>Table112345[[#This Row],[M (KN.mm)]]/(Table112345[[#This Row],[b (mm)]]*Table112345[[#This Row],[h (mm)]])</f>
        <v>1.7619504463823576</v>
      </c>
      <c r="O80" s="145">
        <f>Table112345[[#This Row],[M (KN.mm)]]/(Table112345[[#This Row],[b (mm)]]*Table112345[[#This Row],[h (mm)]]*Table112345[[#This Row],[L(mm)]])</f>
        <v>3.5753864577564077E-4</v>
      </c>
      <c r="P80" s="145">
        <f>Table112345[[#This Row],[M (KN.mm)]]/(Table112345[[#This Row],[b (mm)]]*Table112345[[#This Row],[d (mm)]]*Table112345[[#This Row],[L(mm)]])</f>
        <v>3.9755513654371732E-4</v>
      </c>
      <c r="Q80" s="145">
        <f>Table112345[[#This Row],[M (KN.mm)]]/(Table112345[[#This Row],[b (mm)]]*Table112345[[#This Row],[h (mm)]]*Table112345[[#This Row],[L(mm)]]*Table112345[[#This Row],[fc (Mpa)]])</f>
        <v>4.90450817250536E-6</v>
      </c>
      <c r="R80" s="145">
        <f>Table112345[[#This Row],[M (KN.mm)]]/(Table112345[[#This Row],[b (mm)]]*Table112345[[#This Row],[h (mm)]]*Table112345[[#This Row],[L(mm)]]/2)</f>
        <v>7.1507729155128154E-4</v>
      </c>
      <c r="S80" s="145">
        <f>Table112345[[#This Row],[M (KN.mm)]]/(Table112345[[#This Row],[a (mm)]]*Table112345[[#This Row],[b (mm)]]*Table112345[[#This Row],[h (mm)]]*Table112345[[#This Row],[L(mm)]]/2)</f>
        <v>2.8997457078316365E-7</v>
      </c>
      <c r="T80" s="111">
        <f>G80/($AL$5*AH80*0.001*Table112345[[#This Row],[pho (%)]])</f>
        <v>7.3922476913716969E-7</v>
      </c>
      <c r="U80" s="145">
        <f>Table112345[[#This Row],[M (KN.mm)]]/(Table112345[[#This Row],[b (mm)]]*Table112345[[#This Row],[d (mm)]]*Table112345[[#This Row],[pho (%)]])</f>
        <v>1.5070397791441839</v>
      </c>
      <c r="V80" s="111">
        <f>E80*224.8/(2*SQRT(Table112345[[#This Row],[fc (Mpa)]]*145.037)*Table112345[[#This Row],[b (mm)]]*Table112345[[#This Row],[d (mm)]]*(1/25.4)^2)</f>
        <v>0.56028058345180387</v>
      </c>
      <c r="W80" s="111">
        <f>Table112345[[#This Row],[M (KN.mm)]]/$G$88</f>
        <v>0.60637408984204033</v>
      </c>
      <c r="X80" s="110">
        <f t="shared" si="22"/>
        <v>0.56028058345180387</v>
      </c>
      <c r="Y80" s="111">
        <f>3*Table112345[[#This Row],[d (mm)]]</f>
        <v>2466</v>
      </c>
      <c r="Z80" s="160">
        <v>822</v>
      </c>
      <c r="AA80" s="160">
        <v>914</v>
      </c>
      <c r="AB80" s="160">
        <v>613</v>
      </c>
      <c r="AC80" s="160">
        <v>72.900000000000006</v>
      </c>
      <c r="AD80" s="160">
        <v>6555</v>
      </c>
      <c r="AE80" s="160">
        <v>1.3</v>
      </c>
      <c r="AF80" s="160">
        <v>525</v>
      </c>
      <c r="AG80" s="111">
        <f>(1/3-0.21*(MIN(Table112345[[#This Row],[b (mm)]],AA80)/MAX(Table112345[[#This Row],[b (mm)]],AA80))*(MIN(Table112345[[#This Row],[b (mm)]],AA80)^4/(12*MAX(Table112345[[#This Row],[b (mm)]],AA80)^4)))*MAX(Table112345[[#This Row],[b (mm)]],AA80)*MIN(Table112345[[#This Row],[b (mm)]],AA80)^3</f>
        <v>69678906877.611313</v>
      </c>
      <c r="AH80" s="111">
        <f>Table112345[[#This Row],[b (mm)]]*AA80^3/12</f>
        <v>39004778472.666664</v>
      </c>
      <c r="AI80" s="160">
        <v>4928</v>
      </c>
      <c r="AK80" s="126"/>
    </row>
    <row r="81" spans="1:37" x14ac:dyDescent="0.25">
      <c r="A81" s="159" t="s">
        <v>101</v>
      </c>
      <c r="B81" s="150">
        <v>4</v>
      </c>
      <c r="C81" s="111">
        <v>80</v>
      </c>
      <c r="D81" s="111">
        <f>Table112345[[#This Row],[a (mm)]]/Table112345[[#This Row],[d (mm)]]</f>
        <v>3</v>
      </c>
      <c r="E81" s="111">
        <v>422.56000000000006</v>
      </c>
      <c r="F81" s="137">
        <f>Table112345[[#This Row],[d (mm)]]</f>
        <v>822</v>
      </c>
      <c r="G81" s="135">
        <f t="shared" si="27"/>
        <v>1042032.9600000002</v>
      </c>
      <c r="H81" s="135">
        <f t="shared" si="28"/>
        <v>1.0143806554271164E-6</v>
      </c>
      <c r="I81" s="135">
        <f>G81/(Table112345[[#This Row],[b (mm)]]*Z81^2)</f>
        <v>2.5158071468546462E-3</v>
      </c>
      <c r="J81" s="135">
        <f t="shared" si="29"/>
        <v>0.36836438923395454</v>
      </c>
      <c r="K81" s="135">
        <f t="shared" si="30"/>
        <v>1.9313340928843329E-7</v>
      </c>
      <c r="L81" s="135">
        <f>E81/(Table112345[[#This Row],[b (mm)]]*Z81)</f>
        <v>8.3860238228488206E-4</v>
      </c>
      <c r="M81" s="135">
        <f>Table112345[[#This Row],[M (KN.mm)]]/(Table112345[[#This Row],[b (mm)]]*Table112345[[#This Row],[d (mm)]])</f>
        <v>2.0679934747145192</v>
      </c>
      <c r="N81" s="135">
        <f>Table112345[[#This Row],[M (KN.mm)]]/(Table112345[[#This Row],[b (mm)]]*Table112345[[#This Row],[h (mm)]])</f>
        <v>1.8598365822924887</v>
      </c>
      <c r="O81" s="145">
        <f>Table112345[[#This Row],[M (KN.mm)]]/(Table112345[[#This Row],[b (mm)]]*Table112345[[#This Row],[h (mm)]]*Table112345[[#This Row],[L(mm)]])</f>
        <v>3.7740190387428751E-4</v>
      </c>
      <c r="P81" s="145">
        <f>Table112345[[#This Row],[M (KN.mm)]]/(Table112345[[#This Row],[b (mm)]]*Table112345[[#This Row],[d (mm)]]*Table112345[[#This Row],[L(mm)]])</f>
        <v>4.1964153301836832E-4</v>
      </c>
      <c r="Q81" s="145">
        <f>Table112345[[#This Row],[M (KN.mm)]]/(Table112345[[#This Row],[b (mm)]]*Table112345[[#This Row],[h (mm)]]*Table112345[[#This Row],[L(mm)]]*Table112345[[#This Row],[fc (Mpa)]])</f>
        <v>5.1769808487556581E-6</v>
      </c>
      <c r="R81" s="145">
        <f>Table112345[[#This Row],[M (KN.mm)]]/(Table112345[[#This Row],[b (mm)]]*Table112345[[#This Row],[h (mm)]]*Table112345[[#This Row],[L(mm)]]/2)</f>
        <v>7.5480380774857502E-4</v>
      </c>
      <c r="S81" s="145">
        <f>Table112345[[#This Row],[M (KN.mm)]]/(Table112345[[#This Row],[a (mm)]]*Table112345[[#This Row],[b (mm)]]*Table112345[[#This Row],[h (mm)]]*Table112345[[#This Row],[L(mm)]]/2)</f>
        <v>3.0608426916000608E-7</v>
      </c>
      <c r="T81" s="111">
        <f>G81/($AL$5*AH81*0.001*Table112345[[#This Row],[pho (%)]])</f>
        <v>7.8029281186701259E-7</v>
      </c>
      <c r="U81" s="145">
        <f>Table112345[[#This Row],[M (KN.mm)]]/(Table112345[[#This Row],[b (mm)]]*Table112345[[#This Row],[d (mm)]]*Table112345[[#This Row],[pho (%)]])</f>
        <v>1.5907642113188607</v>
      </c>
      <c r="V81" s="111">
        <f>E81*224.8/(2*SQRT(Table112345[[#This Row],[fc (Mpa)]]*145.037)*Table112345[[#This Row],[b (mm)]]*Table112345[[#This Row],[d (mm)]]*(1/25.4)^2)</f>
        <v>0.59140728253245956</v>
      </c>
      <c r="W81" s="111">
        <f>Table112345[[#This Row],[M (KN.mm)]]/$G$88</f>
        <v>0.64006153927770937</v>
      </c>
      <c r="X81" s="110">
        <f t="shared" si="22"/>
        <v>0.59140728253245956</v>
      </c>
      <c r="Y81" s="111">
        <f>3*Table112345[[#This Row],[d (mm)]]</f>
        <v>2466</v>
      </c>
      <c r="Z81" s="160">
        <v>822</v>
      </c>
      <c r="AA81" s="160">
        <v>914</v>
      </c>
      <c r="AB81" s="160">
        <v>613</v>
      </c>
      <c r="AC81" s="160">
        <v>72.900000000000006</v>
      </c>
      <c r="AD81" s="160">
        <v>6555</v>
      </c>
      <c r="AE81" s="160">
        <v>1.3</v>
      </c>
      <c r="AF81" s="160">
        <v>525</v>
      </c>
      <c r="AG81" s="111">
        <f>(1/3-0.21*(MIN(Table112345[[#This Row],[b (mm)]],AA81)/MAX(Table112345[[#This Row],[b (mm)]],AA81))*(MIN(Table112345[[#This Row],[b (mm)]],AA81)^4/(12*MAX(Table112345[[#This Row],[b (mm)]],AA81)^4)))*MAX(Table112345[[#This Row],[b (mm)]],AA81)*MIN(Table112345[[#This Row],[b (mm)]],AA81)^3</f>
        <v>69678906877.611313</v>
      </c>
      <c r="AH81" s="111">
        <f>Table112345[[#This Row],[b (mm)]]*AA81^3/12</f>
        <v>39004778472.666664</v>
      </c>
      <c r="AI81" s="160">
        <v>4928</v>
      </c>
      <c r="AK81" s="126"/>
    </row>
    <row r="82" spans="1:37" x14ac:dyDescent="0.25">
      <c r="A82" s="159" t="s">
        <v>101</v>
      </c>
      <c r="B82" s="150">
        <v>5</v>
      </c>
      <c r="C82" s="111">
        <v>81</v>
      </c>
      <c r="D82" s="111">
        <f>Table112345[[#This Row],[a (mm)]]/Table112345[[#This Row],[d (mm)]]</f>
        <v>3</v>
      </c>
      <c r="E82" s="111">
        <v>444.80000000000007</v>
      </c>
      <c r="F82" s="137">
        <f>Table112345[[#This Row],[d (mm)]]</f>
        <v>822</v>
      </c>
      <c r="G82" s="135">
        <f t="shared" si="27"/>
        <v>1096876.8000000003</v>
      </c>
      <c r="H82" s="135">
        <f t="shared" si="28"/>
        <v>1.0677691109759121E-6</v>
      </c>
      <c r="I82" s="135">
        <f>G82/(Table112345[[#This Row],[b (mm)]]*Z82^2)</f>
        <v>2.6482180493206803E-3</v>
      </c>
      <c r="J82" s="135">
        <f t="shared" si="29"/>
        <v>0.38775198866732058</v>
      </c>
      <c r="K82" s="135">
        <f t="shared" si="30"/>
        <v>2.0329832556677189E-7</v>
      </c>
      <c r="L82" s="135">
        <f>E82/(Table112345[[#This Row],[b (mm)]]*Z82)</f>
        <v>8.8273934977356006E-4</v>
      </c>
      <c r="M82" s="135">
        <f>Table112345[[#This Row],[M (KN.mm)]]/(Table112345[[#This Row],[b (mm)]]*Table112345[[#This Row],[d (mm)]])</f>
        <v>2.1768352365415993</v>
      </c>
      <c r="N82" s="135">
        <f>Table112345[[#This Row],[M (KN.mm)]]/(Table112345[[#This Row],[b (mm)]]*Table112345[[#This Row],[h (mm)]])</f>
        <v>1.95772271820262</v>
      </c>
      <c r="O82" s="145">
        <f>Table112345[[#This Row],[M (KN.mm)]]/(Table112345[[#This Row],[b (mm)]]*Table112345[[#This Row],[h (mm)]]*Table112345[[#This Row],[L(mm)]])</f>
        <v>3.9726516197293425E-4</v>
      </c>
      <c r="P82" s="145">
        <f>Table112345[[#This Row],[M (KN.mm)]]/(Table112345[[#This Row],[b (mm)]]*Table112345[[#This Row],[d (mm)]]*Table112345[[#This Row],[L(mm)]])</f>
        <v>4.4172792949301933E-4</v>
      </c>
      <c r="Q82" s="145">
        <f>Table112345[[#This Row],[M (KN.mm)]]/(Table112345[[#This Row],[b (mm)]]*Table112345[[#This Row],[h (mm)]]*Table112345[[#This Row],[L(mm)]]*Table112345[[#This Row],[fc (Mpa)]])</f>
        <v>5.4494535250059563E-6</v>
      </c>
      <c r="R82" s="145">
        <f>Table112345[[#This Row],[M (KN.mm)]]/(Table112345[[#This Row],[b (mm)]]*Table112345[[#This Row],[h (mm)]]*Table112345[[#This Row],[L(mm)]]/2)</f>
        <v>7.945303239458685E-4</v>
      </c>
      <c r="S82" s="145">
        <f>Table112345[[#This Row],[M (KN.mm)]]/(Table112345[[#This Row],[a (mm)]]*Table112345[[#This Row],[b (mm)]]*Table112345[[#This Row],[h (mm)]]*Table112345[[#This Row],[L(mm)]]/2)</f>
        <v>3.2219396753684852E-7</v>
      </c>
      <c r="T82" s="111">
        <f>G82/($AL$5*AH82*0.001*Table112345[[#This Row],[pho (%)]])</f>
        <v>8.2136085459685538E-7</v>
      </c>
      <c r="U82" s="145">
        <f>Table112345[[#This Row],[M (KN.mm)]]/(Table112345[[#This Row],[b (mm)]]*Table112345[[#This Row],[d (mm)]]*Table112345[[#This Row],[pho (%)]])</f>
        <v>1.6744886434935378</v>
      </c>
      <c r="V82" s="111">
        <f>E82*224.8/(2*SQRT(Table112345[[#This Row],[fc (Mpa)]]*145.037)*Table112345[[#This Row],[b (mm)]]*Table112345[[#This Row],[d (mm)]]*(1/25.4)^2)</f>
        <v>0.62253398161311546</v>
      </c>
      <c r="W82" s="111">
        <f>Table112345[[#This Row],[M (KN.mm)]]/$G$88</f>
        <v>0.67374898871337829</v>
      </c>
      <c r="X82" s="110">
        <f t="shared" si="22"/>
        <v>0.62253398161311546</v>
      </c>
      <c r="Y82" s="111">
        <f>3*Table112345[[#This Row],[d (mm)]]</f>
        <v>2466</v>
      </c>
      <c r="Z82" s="160">
        <v>822</v>
      </c>
      <c r="AA82" s="160">
        <v>914</v>
      </c>
      <c r="AB82" s="160">
        <v>613</v>
      </c>
      <c r="AC82" s="160">
        <v>72.900000000000006</v>
      </c>
      <c r="AD82" s="160">
        <v>6555</v>
      </c>
      <c r="AE82" s="160">
        <v>1.3</v>
      </c>
      <c r="AF82" s="160">
        <v>525</v>
      </c>
      <c r="AG82" s="111">
        <f>(1/3-0.21*(MIN(Table112345[[#This Row],[b (mm)]],AA82)/MAX(Table112345[[#This Row],[b (mm)]],AA82))*(MIN(Table112345[[#This Row],[b (mm)]],AA82)^4/(12*MAX(Table112345[[#This Row],[b (mm)]],AA82)^4)))*MAX(Table112345[[#This Row],[b (mm)]],AA82)*MIN(Table112345[[#This Row],[b (mm)]],AA82)^3</f>
        <v>69678906877.611313</v>
      </c>
      <c r="AH82" s="111">
        <f>Table112345[[#This Row],[b (mm)]]*AA82^3/12</f>
        <v>39004778472.666664</v>
      </c>
      <c r="AI82" s="160">
        <v>4928</v>
      </c>
      <c r="AK82" s="126"/>
    </row>
    <row r="83" spans="1:37" x14ac:dyDescent="0.25">
      <c r="A83" s="159" t="s">
        <v>101</v>
      </c>
      <c r="B83" s="150">
        <v>6</v>
      </c>
      <c r="C83" s="111">
        <v>82</v>
      </c>
      <c r="D83" s="111">
        <f>Table112345[[#This Row],[a (mm)]]/Table112345[[#This Row],[d (mm)]]</f>
        <v>3</v>
      </c>
      <c r="E83" s="111">
        <v>467.04</v>
      </c>
      <c r="F83" s="137">
        <f>Table112345[[#This Row],[d (mm)]]</f>
        <v>822</v>
      </c>
      <c r="G83" s="135">
        <f t="shared" si="27"/>
        <v>1151720.6400000001</v>
      </c>
      <c r="H83" s="135">
        <f t="shared" si="28"/>
        <v>1.1211575665247077E-6</v>
      </c>
      <c r="I83" s="135">
        <f>G83/(Table112345[[#This Row],[b (mm)]]*Z83^2)</f>
        <v>2.7806289517867139E-3</v>
      </c>
      <c r="J83" s="135">
        <f t="shared" si="29"/>
        <v>0.40713958810068657</v>
      </c>
      <c r="K83" s="135">
        <f t="shared" si="30"/>
        <v>2.1346324184511046E-7</v>
      </c>
      <c r="L83" s="135">
        <f>E83/(Table112345[[#This Row],[b (mm)]]*Z83)</f>
        <v>9.2687631726223795E-4</v>
      </c>
      <c r="M83" s="135">
        <f>Table112345[[#This Row],[M (KN.mm)]]/(Table112345[[#This Row],[b (mm)]]*Table112345[[#This Row],[d (mm)]])</f>
        <v>2.2856769983686789</v>
      </c>
      <c r="N83" s="135">
        <f>Table112345[[#This Row],[M (KN.mm)]]/(Table112345[[#This Row],[b (mm)]]*Table112345[[#This Row],[h (mm)]])</f>
        <v>2.0556088541127506</v>
      </c>
      <c r="O83" s="145">
        <f>Table112345[[#This Row],[M (KN.mm)]]/(Table112345[[#This Row],[b (mm)]]*Table112345[[#This Row],[h (mm)]]*Table112345[[#This Row],[L(mm)]])</f>
        <v>4.1712842007158088E-4</v>
      </c>
      <c r="P83" s="145">
        <f>Table112345[[#This Row],[M (KN.mm)]]/(Table112345[[#This Row],[b (mm)]]*Table112345[[#This Row],[d (mm)]]*Table112345[[#This Row],[L(mm)]])</f>
        <v>4.6381432596767023E-4</v>
      </c>
      <c r="Q83" s="145">
        <f>Table112345[[#This Row],[M (KN.mm)]]/(Table112345[[#This Row],[b (mm)]]*Table112345[[#This Row],[h (mm)]]*Table112345[[#This Row],[L(mm)]]*Table112345[[#This Row],[fc (Mpa)]])</f>
        <v>5.7219262012562527E-6</v>
      </c>
      <c r="R83" s="145">
        <f>Table112345[[#This Row],[M (KN.mm)]]/(Table112345[[#This Row],[b (mm)]]*Table112345[[#This Row],[h (mm)]]*Table112345[[#This Row],[L(mm)]]/2)</f>
        <v>8.3425684014316176E-4</v>
      </c>
      <c r="S83" s="145">
        <f>Table112345[[#This Row],[M (KN.mm)]]/(Table112345[[#This Row],[a (mm)]]*Table112345[[#This Row],[b (mm)]]*Table112345[[#This Row],[h (mm)]]*Table112345[[#This Row],[L(mm)]]/2)</f>
        <v>3.3830366591369091E-7</v>
      </c>
      <c r="T83" s="111">
        <f>G83/($AL$5*AH83*0.001*Table112345[[#This Row],[pho (%)]])</f>
        <v>8.6242889732669806E-7</v>
      </c>
      <c r="U83" s="145">
        <f>Table112345[[#This Row],[M (KN.mm)]]/(Table112345[[#This Row],[b (mm)]]*Table112345[[#This Row],[d (mm)]]*Table112345[[#This Row],[pho (%)]])</f>
        <v>1.7582130756682144</v>
      </c>
      <c r="V83" s="111">
        <f>E83*224.8/(2*SQRT(Table112345[[#This Row],[fc (Mpa)]]*145.037)*Table112345[[#This Row],[b (mm)]]*Table112345[[#This Row],[d (mm)]]*(1/25.4)^2)</f>
        <v>0.65366068069377103</v>
      </c>
      <c r="W83" s="111">
        <f>Table112345[[#This Row],[M (KN.mm)]]/$G$88</f>
        <v>0.70743643814904711</v>
      </c>
      <c r="X83" s="110">
        <f t="shared" si="22"/>
        <v>0.65366068069377103</v>
      </c>
      <c r="Y83" s="111">
        <f>3*Table112345[[#This Row],[d (mm)]]</f>
        <v>2466</v>
      </c>
      <c r="Z83" s="160">
        <v>822</v>
      </c>
      <c r="AA83" s="160">
        <v>914</v>
      </c>
      <c r="AB83" s="160">
        <v>613</v>
      </c>
      <c r="AC83" s="160">
        <v>72.900000000000006</v>
      </c>
      <c r="AD83" s="160">
        <v>6555</v>
      </c>
      <c r="AE83" s="160">
        <v>1.3</v>
      </c>
      <c r="AF83" s="160">
        <v>525</v>
      </c>
      <c r="AG83" s="111">
        <f>(1/3-0.21*(MIN(Table112345[[#This Row],[b (mm)]],AA83)/MAX(Table112345[[#This Row],[b (mm)]],AA83))*(MIN(Table112345[[#This Row],[b (mm)]],AA83)^4/(12*MAX(Table112345[[#This Row],[b (mm)]],AA83)^4)))*MAX(Table112345[[#This Row],[b (mm)]],AA83)*MIN(Table112345[[#This Row],[b (mm)]],AA83)^3</f>
        <v>69678906877.611313</v>
      </c>
      <c r="AH83" s="111">
        <f>Table112345[[#This Row],[b (mm)]]*AA83^3/12</f>
        <v>39004778472.666664</v>
      </c>
      <c r="AI83" s="160">
        <v>4928</v>
      </c>
      <c r="AK83" s="126"/>
    </row>
    <row r="84" spans="1:37" x14ac:dyDescent="0.25">
      <c r="A84" s="159" t="s">
        <v>101</v>
      </c>
      <c r="B84" s="150">
        <v>7</v>
      </c>
      <c r="C84" s="111">
        <v>83</v>
      </c>
      <c r="D84" s="111">
        <f>Table112345[[#This Row],[a (mm)]]/Table112345[[#This Row],[d (mm)]]</f>
        <v>3</v>
      </c>
      <c r="E84" s="111">
        <v>489.28000000000003</v>
      </c>
      <c r="F84" s="137">
        <f>Table112345[[#This Row],[d (mm)]]</f>
        <v>822</v>
      </c>
      <c r="G84" s="135">
        <f t="shared" si="27"/>
        <v>1206564.48</v>
      </c>
      <c r="H84" s="135">
        <f t="shared" si="28"/>
        <v>1.174546022073503E-6</v>
      </c>
      <c r="I84" s="135">
        <f>G84/(Table112345[[#This Row],[b (mm)]]*Z84^2)</f>
        <v>2.9130398542527476E-3</v>
      </c>
      <c r="J84" s="135">
        <f t="shared" si="29"/>
        <v>0.4265271875340525</v>
      </c>
      <c r="K84" s="135">
        <f t="shared" si="30"/>
        <v>2.2362815812344906E-7</v>
      </c>
      <c r="L84" s="135">
        <f>E84/(Table112345[[#This Row],[b (mm)]]*Z84)</f>
        <v>9.7101328475091594E-4</v>
      </c>
      <c r="M84" s="135">
        <f>Table112345[[#This Row],[M (KN.mm)]]/(Table112345[[#This Row],[b (mm)]]*Table112345[[#This Row],[d (mm)]])</f>
        <v>2.3945187601957585</v>
      </c>
      <c r="N84" s="135">
        <f>Table112345[[#This Row],[M (KN.mm)]]/(Table112345[[#This Row],[b (mm)]]*Table112345[[#This Row],[h (mm)]])</f>
        <v>2.1534949900228813</v>
      </c>
      <c r="O84" s="145">
        <f>Table112345[[#This Row],[M (KN.mm)]]/(Table112345[[#This Row],[b (mm)]]*Table112345[[#This Row],[h (mm)]]*Table112345[[#This Row],[L(mm)]])</f>
        <v>4.3699167817022751E-4</v>
      </c>
      <c r="P84" s="145">
        <f>Table112345[[#This Row],[M (KN.mm)]]/(Table112345[[#This Row],[b (mm)]]*Table112345[[#This Row],[d (mm)]]*Table112345[[#This Row],[L(mm)]])</f>
        <v>4.8590072244232113E-4</v>
      </c>
      <c r="Q84" s="145">
        <f>Table112345[[#This Row],[M (KN.mm)]]/(Table112345[[#This Row],[b (mm)]]*Table112345[[#This Row],[h (mm)]]*Table112345[[#This Row],[L(mm)]]*Table112345[[#This Row],[fc (Mpa)]])</f>
        <v>5.9943988775065501E-6</v>
      </c>
      <c r="R84" s="145">
        <f>Table112345[[#This Row],[M (KN.mm)]]/(Table112345[[#This Row],[b (mm)]]*Table112345[[#This Row],[h (mm)]]*Table112345[[#This Row],[L(mm)]]/2)</f>
        <v>8.7398335634045502E-4</v>
      </c>
      <c r="S84" s="145">
        <f>Table112345[[#This Row],[M (KN.mm)]]/(Table112345[[#This Row],[a (mm)]]*Table112345[[#This Row],[b (mm)]]*Table112345[[#This Row],[h (mm)]]*Table112345[[#This Row],[L(mm)]]/2)</f>
        <v>3.5441336429053329E-7</v>
      </c>
      <c r="T84" s="111">
        <f>G84/($AL$5*AH84*0.001*Table112345[[#This Row],[pho (%)]])</f>
        <v>9.0349694005654064E-7</v>
      </c>
      <c r="U84" s="145">
        <f>Table112345[[#This Row],[M (KN.mm)]]/(Table112345[[#This Row],[b (mm)]]*Table112345[[#This Row],[d (mm)]]*Table112345[[#This Row],[pho (%)]])</f>
        <v>1.841937507842891</v>
      </c>
      <c r="V84" s="111">
        <f>E84*224.8/(2*SQRT(Table112345[[#This Row],[fc (Mpa)]]*145.037)*Table112345[[#This Row],[b (mm)]]*Table112345[[#This Row],[d (mm)]]*(1/25.4)^2)</f>
        <v>0.68478737977442683</v>
      </c>
      <c r="W84" s="111">
        <f>Table112345[[#This Row],[M (KN.mm)]]/$G$88</f>
        <v>0.74112388758471592</v>
      </c>
      <c r="X84" s="110">
        <f t="shared" si="22"/>
        <v>0.68478737977442683</v>
      </c>
      <c r="Y84" s="111">
        <f>3*Table112345[[#This Row],[d (mm)]]</f>
        <v>2466</v>
      </c>
      <c r="Z84" s="160">
        <v>822</v>
      </c>
      <c r="AA84" s="160">
        <v>914</v>
      </c>
      <c r="AB84" s="160">
        <v>613</v>
      </c>
      <c r="AC84" s="160">
        <v>72.900000000000006</v>
      </c>
      <c r="AD84" s="160">
        <v>6555</v>
      </c>
      <c r="AE84" s="160">
        <v>1.3</v>
      </c>
      <c r="AF84" s="160">
        <v>525</v>
      </c>
      <c r="AG84" s="111">
        <f>(1/3-0.21*(MIN(Table112345[[#This Row],[b (mm)]],AA84)/MAX(Table112345[[#This Row],[b (mm)]],AA84))*(MIN(Table112345[[#This Row],[b (mm)]],AA84)^4/(12*MAX(Table112345[[#This Row],[b (mm)]],AA84)^4)))*MAX(Table112345[[#This Row],[b (mm)]],AA84)*MIN(Table112345[[#This Row],[b (mm)]],AA84)^3</f>
        <v>69678906877.611313</v>
      </c>
      <c r="AH84" s="111">
        <f>Table112345[[#This Row],[b (mm)]]*AA84^3/12</f>
        <v>39004778472.666664</v>
      </c>
      <c r="AI84" s="160">
        <v>4928</v>
      </c>
      <c r="AK84" s="126"/>
    </row>
    <row r="85" spans="1:37" x14ac:dyDescent="0.25">
      <c r="A85" s="159" t="s">
        <v>101</v>
      </c>
      <c r="B85" s="150">
        <v>8</v>
      </c>
      <c r="C85" s="111">
        <v>84</v>
      </c>
      <c r="D85" s="111">
        <f>Table112345[[#This Row],[a (mm)]]/Table112345[[#This Row],[d (mm)]]</f>
        <v>3</v>
      </c>
      <c r="E85" s="111">
        <v>511.52000000000004</v>
      </c>
      <c r="F85" s="137">
        <f>Table112345[[#This Row],[d (mm)]]</f>
        <v>822</v>
      </c>
      <c r="G85" s="135">
        <f t="shared" si="27"/>
        <v>1261408.32</v>
      </c>
      <c r="H85" s="135">
        <f t="shared" si="28"/>
        <v>1.2279344776222987E-6</v>
      </c>
      <c r="I85" s="135">
        <f>G85/(Table112345[[#This Row],[b (mm)]]*Z85^2)</f>
        <v>3.0454507567187817E-3</v>
      </c>
      <c r="J85" s="135">
        <f t="shared" si="29"/>
        <v>0.4459147869674186</v>
      </c>
      <c r="K85" s="135">
        <f t="shared" si="30"/>
        <v>2.3379307440178765E-7</v>
      </c>
      <c r="L85" s="135">
        <f>E85/(Table112345[[#This Row],[b (mm)]]*Z85)</f>
        <v>1.015150252239594E-3</v>
      </c>
      <c r="M85" s="135">
        <f>Table112345[[#This Row],[M (KN.mm)]]/(Table112345[[#This Row],[b (mm)]]*Table112345[[#This Row],[d (mm)]])</f>
        <v>2.5033605220228385</v>
      </c>
      <c r="N85" s="135">
        <f>Table112345[[#This Row],[M (KN.mm)]]/(Table112345[[#This Row],[b (mm)]]*Table112345[[#This Row],[h (mm)]])</f>
        <v>2.2513811259330123</v>
      </c>
      <c r="O85" s="145">
        <f>Table112345[[#This Row],[M (KN.mm)]]/(Table112345[[#This Row],[b (mm)]]*Table112345[[#This Row],[h (mm)]]*Table112345[[#This Row],[L(mm)]])</f>
        <v>4.5685493626887425E-4</v>
      </c>
      <c r="P85" s="145">
        <f>Table112345[[#This Row],[M (KN.mm)]]/(Table112345[[#This Row],[b (mm)]]*Table112345[[#This Row],[d (mm)]]*Table112345[[#This Row],[L(mm)]])</f>
        <v>5.0798711891697208E-4</v>
      </c>
      <c r="Q85" s="145">
        <f>Table112345[[#This Row],[M (KN.mm)]]/(Table112345[[#This Row],[b (mm)]]*Table112345[[#This Row],[h (mm)]]*Table112345[[#This Row],[L(mm)]]*Table112345[[#This Row],[fc (Mpa)]])</f>
        <v>6.2668715537568482E-6</v>
      </c>
      <c r="R85" s="145">
        <f>Table112345[[#This Row],[M (KN.mm)]]/(Table112345[[#This Row],[b (mm)]]*Table112345[[#This Row],[h (mm)]]*Table112345[[#This Row],[L(mm)]]/2)</f>
        <v>9.137098725377485E-4</v>
      </c>
      <c r="S85" s="145">
        <f>Table112345[[#This Row],[M (KN.mm)]]/(Table112345[[#This Row],[a (mm)]]*Table112345[[#This Row],[b (mm)]]*Table112345[[#This Row],[h (mm)]]*Table112345[[#This Row],[L(mm)]]/2)</f>
        <v>3.7052306266737573E-7</v>
      </c>
      <c r="T85" s="111">
        <f>G85/($AL$5*AH85*0.001*Table112345[[#This Row],[pho (%)]])</f>
        <v>9.4456498278638354E-7</v>
      </c>
      <c r="U85" s="145">
        <f>Table112345[[#This Row],[M (KN.mm)]]/(Table112345[[#This Row],[b (mm)]]*Table112345[[#This Row],[d (mm)]]*Table112345[[#This Row],[pho (%)]])</f>
        <v>1.9256619400175681</v>
      </c>
      <c r="V85" s="111">
        <f>E85*224.8/(2*SQRT(Table112345[[#This Row],[fc (Mpa)]]*145.037)*Table112345[[#This Row],[b (mm)]]*Table112345[[#This Row],[d (mm)]]*(1/25.4)^2)</f>
        <v>0.71591407885508263</v>
      </c>
      <c r="W85" s="111">
        <f>Table112345[[#This Row],[M (KN.mm)]]/$G$88</f>
        <v>0.77481133702038485</v>
      </c>
      <c r="X85" s="110">
        <f t="shared" si="22"/>
        <v>0.71591407885508263</v>
      </c>
      <c r="Y85" s="111">
        <f>3*Table112345[[#This Row],[d (mm)]]</f>
        <v>2466</v>
      </c>
      <c r="Z85" s="160">
        <v>822</v>
      </c>
      <c r="AA85" s="160">
        <v>914</v>
      </c>
      <c r="AB85" s="160">
        <v>613</v>
      </c>
      <c r="AC85" s="160">
        <v>72.900000000000006</v>
      </c>
      <c r="AD85" s="160">
        <v>6555</v>
      </c>
      <c r="AE85" s="160">
        <v>1.3</v>
      </c>
      <c r="AF85" s="160">
        <v>525</v>
      </c>
      <c r="AG85" s="111">
        <f>(1/3-0.21*(MIN(Table112345[[#This Row],[b (mm)]],AA85)/MAX(Table112345[[#This Row],[b (mm)]],AA85))*(MIN(Table112345[[#This Row],[b (mm)]],AA85)^4/(12*MAX(Table112345[[#This Row],[b (mm)]],AA85)^4)))*MAX(Table112345[[#This Row],[b (mm)]],AA85)*MIN(Table112345[[#This Row],[b (mm)]],AA85)^3</f>
        <v>69678906877.611313</v>
      </c>
      <c r="AH85" s="111">
        <f>Table112345[[#This Row],[b (mm)]]*AA85^3/12</f>
        <v>39004778472.666664</v>
      </c>
      <c r="AI85" s="160">
        <v>4928</v>
      </c>
      <c r="AK85" s="126"/>
    </row>
    <row r="86" spans="1:37" x14ac:dyDescent="0.25">
      <c r="A86" s="159" t="s">
        <v>101</v>
      </c>
      <c r="B86" s="150">
        <v>9</v>
      </c>
      <c r="C86" s="111">
        <v>85</v>
      </c>
      <c r="D86" s="111">
        <f>Table112345[[#This Row],[a (mm)]]/Table112345[[#This Row],[d (mm)]]</f>
        <v>3</v>
      </c>
      <c r="E86" s="111">
        <v>533.76</v>
      </c>
      <c r="F86" s="137">
        <f>Table112345[[#This Row],[d (mm)]]</f>
        <v>822</v>
      </c>
      <c r="G86" s="135">
        <f t="shared" si="27"/>
        <v>1316252.1599999999</v>
      </c>
      <c r="H86" s="135">
        <f t="shared" si="28"/>
        <v>1.2813229331710941E-6</v>
      </c>
      <c r="I86" s="135">
        <f>G86/(Table112345[[#This Row],[b (mm)]]*Z86^2)</f>
        <v>3.1778616591848154E-3</v>
      </c>
      <c r="J86" s="135">
        <f t="shared" si="29"/>
        <v>0.46530238640078453</v>
      </c>
      <c r="K86" s="135">
        <f t="shared" si="30"/>
        <v>2.439579906801262E-7</v>
      </c>
      <c r="L86" s="135">
        <f>E86/(Table112345[[#This Row],[b (mm)]]*Z86)</f>
        <v>1.0592872197282719E-3</v>
      </c>
      <c r="M86" s="135">
        <f>Table112345[[#This Row],[M (KN.mm)]]/(Table112345[[#This Row],[b (mm)]]*Table112345[[#This Row],[d (mm)]])</f>
        <v>2.6122022838499181</v>
      </c>
      <c r="N86" s="135">
        <f>Table112345[[#This Row],[M (KN.mm)]]/(Table112345[[#This Row],[b (mm)]]*Table112345[[#This Row],[h (mm)]])</f>
        <v>2.3492672618431429</v>
      </c>
      <c r="O86" s="145">
        <f>Table112345[[#This Row],[M (KN.mm)]]/(Table112345[[#This Row],[b (mm)]]*Table112345[[#This Row],[h (mm)]]*Table112345[[#This Row],[L(mm)]])</f>
        <v>4.7671819436752094E-4</v>
      </c>
      <c r="P86" s="145">
        <f>Table112345[[#This Row],[M (KN.mm)]]/(Table112345[[#This Row],[b (mm)]]*Table112345[[#This Row],[d (mm)]]*Table112345[[#This Row],[L(mm)]])</f>
        <v>5.3007351539162298E-4</v>
      </c>
      <c r="Q86" s="145">
        <f>Table112345[[#This Row],[M (KN.mm)]]/(Table112345[[#This Row],[b (mm)]]*Table112345[[#This Row],[h (mm)]]*Table112345[[#This Row],[L(mm)]]*Table112345[[#This Row],[fc (Mpa)]])</f>
        <v>6.5393442300071447E-6</v>
      </c>
      <c r="R86" s="145">
        <f>Table112345[[#This Row],[M (KN.mm)]]/(Table112345[[#This Row],[b (mm)]]*Table112345[[#This Row],[h (mm)]]*Table112345[[#This Row],[L(mm)]]/2)</f>
        <v>9.5343638873504187E-4</v>
      </c>
      <c r="S86" s="145">
        <f>Table112345[[#This Row],[M (KN.mm)]]/(Table112345[[#This Row],[a (mm)]]*Table112345[[#This Row],[b (mm)]]*Table112345[[#This Row],[h (mm)]]*Table112345[[#This Row],[L(mm)]]/2)</f>
        <v>3.8663276104421811E-7</v>
      </c>
      <c r="T86" s="111">
        <f>G86/($AL$5*AH86*0.001*Table112345[[#This Row],[pho (%)]])</f>
        <v>9.8563302551622612E-7</v>
      </c>
      <c r="U86" s="145">
        <f>Table112345[[#This Row],[M (KN.mm)]]/(Table112345[[#This Row],[b (mm)]]*Table112345[[#This Row],[d (mm)]]*Table112345[[#This Row],[pho (%)]])</f>
        <v>2.0093863721922447</v>
      </c>
      <c r="V86" s="111">
        <f>E86*224.8/(2*SQRT(Table112345[[#This Row],[fc (Mpa)]]*145.037)*Table112345[[#This Row],[b (mm)]]*Table112345[[#This Row],[d (mm)]]*(1/25.4)^2)</f>
        <v>0.74704077793573831</v>
      </c>
      <c r="W86" s="111">
        <f>Table112345[[#This Row],[M (KN.mm)]]/$G$88</f>
        <v>0.80849878645605366</v>
      </c>
      <c r="X86" s="110">
        <f t="shared" si="22"/>
        <v>0.74704077793573831</v>
      </c>
      <c r="Y86" s="111">
        <f>3*Table112345[[#This Row],[d (mm)]]</f>
        <v>2466</v>
      </c>
      <c r="Z86" s="160">
        <v>822</v>
      </c>
      <c r="AA86" s="160">
        <v>914</v>
      </c>
      <c r="AB86" s="160">
        <v>613</v>
      </c>
      <c r="AC86" s="160">
        <v>72.900000000000006</v>
      </c>
      <c r="AD86" s="160">
        <v>6555</v>
      </c>
      <c r="AE86" s="160">
        <v>1.3</v>
      </c>
      <c r="AF86" s="160">
        <v>525</v>
      </c>
      <c r="AG86" s="111">
        <f>(1/3-0.21*(MIN(Table112345[[#This Row],[b (mm)]],AA86)/MAX(Table112345[[#This Row],[b (mm)]],AA86))*(MIN(Table112345[[#This Row],[b (mm)]],AA86)^4/(12*MAX(Table112345[[#This Row],[b (mm)]],AA86)^4)))*MAX(Table112345[[#This Row],[b (mm)]],AA86)*MIN(Table112345[[#This Row],[b (mm)]],AA86)^3</f>
        <v>69678906877.611313</v>
      </c>
      <c r="AH86" s="111">
        <f>Table112345[[#This Row],[b (mm)]]*AA86^3/12</f>
        <v>39004778472.666664</v>
      </c>
      <c r="AI86" s="160">
        <v>4928</v>
      </c>
      <c r="AK86" s="126"/>
    </row>
    <row r="87" spans="1:37" x14ac:dyDescent="0.25">
      <c r="A87" s="159" t="s">
        <v>101</v>
      </c>
      <c r="B87" s="150">
        <v>10</v>
      </c>
      <c r="C87" s="111">
        <v>86</v>
      </c>
      <c r="D87" s="111">
        <f>Table112345[[#This Row],[a (mm)]]/Table112345[[#This Row],[d (mm)]]</f>
        <v>3</v>
      </c>
      <c r="E87" s="111">
        <v>556</v>
      </c>
      <c r="F87" s="137">
        <f>Table112345[[#This Row],[d (mm)]]</f>
        <v>822</v>
      </c>
      <c r="G87" s="135">
        <f t="shared" si="27"/>
        <v>1371096</v>
      </c>
      <c r="H87" s="135">
        <f t="shared" si="28"/>
        <v>1.3347113887198898E-6</v>
      </c>
      <c r="I87" s="135">
        <f>G87/(Table112345[[#This Row],[b (mm)]]*Z87^2)</f>
        <v>3.3102725616508495E-3</v>
      </c>
      <c r="J87" s="135">
        <f t="shared" si="29"/>
        <v>0.48468998583415057</v>
      </c>
      <c r="K87" s="135">
        <f t="shared" si="30"/>
        <v>2.541229069584648E-7</v>
      </c>
      <c r="L87" s="135">
        <f>E87/(Table112345[[#This Row],[b (mm)]]*Z87)</f>
        <v>1.1034241872169498E-3</v>
      </c>
      <c r="M87" s="135">
        <f>Table112345[[#This Row],[M (KN.mm)]]/(Table112345[[#This Row],[b (mm)]]*Table112345[[#This Row],[d (mm)]])</f>
        <v>2.7210440456769982</v>
      </c>
      <c r="N87" s="135">
        <f>Table112345[[#This Row],[M (KN.mm)]]/(Table112345[[#This Row],[b (mm)]]*Table112345[[#This Row],[h (mm)]])</f>
        <v>2.4471533977532745</v>
      </c>
      <c r="O87" s="145">
        <f>Table112345[[#This Row],[M (KN.mm)]]/(Table112345[[#This Row],[b (mm)]]*Table112345[[#This Row],[h (mm)]]*Table112345[[#This Row],[L(mm)]])</f>
        <v>4.9658145246616768E-4</v>
      </c>
      <c r="P87" s="145">
        <f>Table112345[[#This Row],[M (KN.mm)]]/(Table112345[[#This Row],[b (mm)]]*Table112345[[#This Row],[d (mm)]]*Table112345[[#This Row],[L(mm)]])</f>
        <v>5.5215991186627399E-4</v>
      </c>
      <c r="Q87" s="145">
        <f>Table112345[[#This Row],[M (KN.mm)]]/(Table112345[[#This Row],[b (mm)]]*Table112345[[#This Row],[h (mm)]]*Table112345[[#This Row],[L(mm)]]*Table112345[[#This Row],[fc (Mpa)]])</f>
        <v>6.8118169062574428E-6</v>
      </c>
      <c r="R87" s="145">
        <f>Table112345[[#This Row],[M (KN.mm)]]/(Table112345[[#This Row],[b (mm)]]*Table112345[[#This Row],[h (mm)]]*Table112345[[#This Row],[L(mm)]]/2)</f>
        <v>9.9316290493233535E-4</v>
      </c>
      <c r="S87" s="145">
        <f>Table112345[[#This Row],[M (KN.mm)]]/(Table112345[[#This Row],[a (mm)]]*Table112345[[#This Row],[b (mm)]]*Table112345[[#This Row],[h (mm)]]*Table112345[[#This Row],[L(mm)]]/2)</f>
        <v>4.0274245942106055E-7</v>
      </c>
      <c r="T87" s="111">
        <f>G87/($AL$5*AH87*0.001*Table112345[[#This Row],[pho (%)]])</f>
        <v>1.0267010682460689E-6</v>
      </c>
      <c r="U87" s="145">
        <f>Table112345[[#This Row],[M (KN.mm)]]/(Table112345[[#This Row],[b (mm)]]*Table112345[[#This Row],[d (mm)]]*Table112345[[#This Row],[pho (%)]])</f>
        <v>2.0931108043669218</v>
      </c>
      <c r="V87" s="111">
        <f>E87*224.8/(2*SQRT(Table112345[[#This Row],[fc (Mpa)]]*145.037)*Table112345[[#This Row],[b (mm)]]*Table112345[[#This Row],[d (mm)]]*(1/25.4)^2)</f>
        <v>0.7781674770163941</v>
      </c>
      <c r="W87" s="111">
        <f>Table112345[[#This Row],[M (KN.mm)]]/$G$88</f>
        <v>0.84218623589172259</v>
      </c>
      <c r="X87" s="110">
        <f t="shared" si="22"/>
        <v>0.7781674770163941</v>
      </c>
      <c r="Y87" s="111">
        <f>3*Table112345[[#This Row],[d (mm)]]</f>
        <v>2466</v>
      </c>
      <c r="Z87" s="160">
        <v>822</v>
      </c>
      <c r="AA87" s="160">
        <v>914</v>
      </c>
      <c r="AB87" s="160">
        <v>613</v>
      </c>
      <c r="AC87" s="160">
        <v>72.900000000000006</v>
      </c>
      <c r="AD87" s="160">
        <v>6555</v>
      </c>
      <c r="AE87" s="160">
        <v>1.3</v>
      </c>
      <c r="AF87" s="160">
        <v>525</v>
      </c>
      <c r="AG87" s="111">
        <f>(1/3-0.21*(MIN(Table112345[[#This Row],[b (mm)]],AA87)/MAX(Table112345[[#This Row],[b (mm)]],AA87))*(MIN(Table112345[[#This Row],[b (mm)]],AA87)^4/(12*MAX(Table112345[[#This Row],[b (mm)]],AA87)^4)))*MAX(Table112345[[#This Row],[b (mm)]],AA87)*MIN(Table112345[[#This Row],[b (mm)]],AA87)^3</f>
        <v>69678906877.611313</v>
      </c>
      <c r="AH87" s="111">
        <f>Table112345[[#This Row],[b (mm)]]*AA87^3/12</f>
        <v>39004778472.666664</v>
      </c>
      <c r="AI87" s="160">
        <v>4928</v>
      </c>
      <c r="AK87" s="126"/>
    </row>
    <row r="88" spans="1:37" x14ac:dyDescent="0.25">
      <c r="A88" s="159" t="s">
        <v>101</v>
      </c>
      <c r="B88" s="150" t="s">
        <v>92</v>
      </c>
      <c r="C88" s="111">
        <v>87</v>
      </c>
      <c r="D88" s="111">
        <f>Table112345[[#This Row],[a (mm)]]/Table112345[[#This Row],[d (mm)]]</f>
        <v>3</v>
      </c>
      <c r="E88" s="166">
        <v>660.18651968503946</v>
      </c>
      <c r="F88" s="137">
        <f>Table112345[[#This Row],[d (mm)]]</f>
        <v>822</v>
      </c>
      <c r="G88" s="135">
        <f t="shared" si="27"/>
        <v>1628019.9575433072</v>
      </c>
      <c r="H88" s="135">
        <f t="shared" si="28"/>
        <v>1.5848173857967083E-6</v>
      </c>
      <c r="I88" s="135">
        <f>G88/(Table112345[[#This Row],[b (mm)]]*Z88^2)</f>
        <v>3.9305707224553139E-3</v>
      </c>
      <c r="J88" s="135">
        <f t="shared" si="29"/>
        <v>0.57551401955762405</v>
      </c>
      <c r="K88" s="135">
        <f t="shared" si="30"/>
        <v>3.0174193798049277E-7</v>
      </c>
      <c r="L88" s="135">
        <f>E88/(Table112345[[#This Row],[b (mm)]]*Z88)</f>
        <v>1.310190240818438E-3</v>
      </c>
      <c r="M88" s="135">
        <f>Table112345[[#This Row],[M (KN.mm)]]/(Table112345[[#This Row],[b (mm)]]*Table112345[[#This Row],[d (mm)]])</f>
        <v>3.2309291338582682</v>
      </c>
      <c r="N88" s="135">
        <f>Table112345[[#This Row],[M (KN.mm)]]/(Table112345[[#This Row],[b (mm)]]*Table112345[[#This Row],[h (mm)]])</f>
        <v>2.9057152604283329</v>
      </c>
      <c r="O88" s="145">
        <f>Table112345[[#This Row],[M (KN.mm)]]/(Table112345[[#This Row],[b (mm)]]*Table112345[[#This Row],[h (mm)]]*Table112345[[#This Row],[L(mm)]])</f>
        <v>5.8963377849600908E-4</v>
      </c>
      <c r="P88" s="145">
        <f>Table112345[[#This Row],[M (KN.mm)]]/(Table112345[[#This Row],[b (mm)]]*Table112345[[#This Row],[d (mm)]]*Table112345[[#This Row],[L(mm)]])</f>
        <v>6.5562685346149915E-4</v>
      </c>
      <c r="Q88" s="145">
        <f>Table112345[[#This Row],[M (KN.mm)]]/(Table112345[[#This Row],[b (mm)]]*Table112345[[#This Row],[h (mm)]]*Table112345[[#This Row],[L(mm)]]*Table112345[[#This Row],[fc (Mpa)]])</f>
        <v>8.0882548490536216E-6</v>
      </c>
      <c r="R88" s="145">
        <f>Table112345[[#This Row],[M (KN.mm)]]/(Table112345[[#This Row],[b (mm)]]*Table112345[[#This Row],[h (mm)]]*Table112345[[#This Row],[L(mm)]]/2)</f>
        <v>1.1792675569920182E-3</v>
      </c>
      <c r="S88" s="145">
        <f>Table112345[[#This Row],[M (KN.mm)]]/(Table112345[[#This Row],[a (mm)]]*Table112345[[#This Row],[b (mm)]]*Table112345[[#This Row],[h (mm)]]*Table112345[[#This Row],[L(mm)]]/2)</f>
        <v>4.7821068815572515E-7</v>
      </c>
      <c r="T88" s="111">
        <f>G88/($AL$5*AH88*0.001*Table112345[[#This Row],[pho (%)]])</f>
        <v>1.2190902967666985E-6</v>
      </c>
      <c r="U88" s="145">
        <f>Table112345[[#This Row],[M (KN.mm)]]/(Table112345[[#This Row],[b (mm)]]*Table112345[[#This Row],[d (mm)]]*Table112345[[#This Row],[pho (%)]])</f>
        <v>2.4853301029678985</v>
      </c>
      <c r="V88" s="111">
        <f>E88*224.8/(2*SQRT(Table112345[[#This Row],[fc (Mpa)]]*145.037)*Table112345[[#This Row],[b (mm)]]*Table112345[[#This Row],[d (mm)]]*(1/25.4)^2)</f>
        <v>0.92398503306392299</v>
      </c>
      <c r="W88" s="111">
        <f>Table112345[[#This Row],[M (KN.mm)]]/$G$88</f>
        <v>1</v>
      </c>
      <c r="X88" s="110">
        <f t="shared" si="22"/>
        <v>0.92398503306392299</v>
      </c>
      <c r="Y88" s="111">
        <f>3*Table112345[[#This Row],[d (mm)]]</f>
        <v>2466</v>
      </c>
      <c r="Z88" s="160">
        <v>822</v>
      </c>
      <c r="AA88" s="160">
        <v>914</v>
      </c>
      <c r="AB88" s="160">
        <v>613</v>
      </c>
      <c r="AC88" s="160">
        <v>72.900000000000006</v>
      </c>
      <c r="AD88" s="160">
        <v>6555</v>
      </c>
      <c r="AE88" s="160">
        <v>1.3</v>
      </c>
      <c r="AF88" s="160">
        <v>525</v>
      </c>
      <c r="AG88" s="111">
        <f>(1/3-0.21*(MIN(Table112345[[#This Row],[b (mm)]],AA88)/MAX(Table112345[[#This Row],[b (mm)]],AA88))*(MIN(Table112345[[#This Row],[b (mm)]],AA88)^4/(12*MAX(Table112345[[#This Row],[b (mm)]],AA88)^4)))*MAX(Table112345[[#This Row],[b (mm)]],AA88)*MIN(Table112345[[#This Row],[b (mm)]],AA88)^3</f>
        <v>69678906877.611313</v>
      </c>
      <c r="AH88" s="111">
        <f>Table112345[[#This Row],[b (mm)]]*AA88^3/12</f>
        <v>39004778472.666664</v>
      </c>
      <c r="AI88" s="160">
        <v>4928</v>
      </c>
      <c r="AK88" s="126"/>
    </row>
    <row r="89" spans="1:37" x14ac:dyDescent="0.25">
      <c r="A89" s="159" t="s">
        <v>101</v>
      </c>
      <c r="B89" s="150" t="s">
        <v>93</v>
      </c>
      <c r="C89" s="111">
        <v>88</v>
      </c>
      <c r="D89" s="111">
        <f>Table112345[[#This Row],[a (mm)]]/Table112345[[#This Row],[d (mm)]]</f>
        <v>3</v>
      </c>
      <c r="E89" s="166">
        <v>660.18651968503946</v>
      </c>
      <c r="F89" s="137">
        <f>Table112345[[#This Row],[d (mm)]]</f>
        <v>822</v>
      </c>
      <c r="G89" s="135">
        <f t="shared" si="27"/>
        <v>1628019.9575433072</v>
      </c>
      <c r="H89" s="135">
        <f t="shared" si="28"/>
        <v>1.5848173857967083E-6</v>
      </c>
      <c r="I89" s="135">
        <f>G89/(Table112345[[#This Row],[b (mm)]]*Z89^2)</f>
        <v>3.9305707224553139E-3</v>
      </c>
      <c r="J89" s="135">
        <f t="shared" si="29"/>
        <v>0.57551401955762405</v>
      </c>
      <c r="K89" s="135">
        <f t="shared" si="30"/>
        <v>3.0174193798049277E-7</v>
      </c>
      <c r="L89" s="135">
        <f>E89/(Table112345[[#This Row],[b (mm)]]*Z89)</f>
        <v>1.310190240818438E-3</v>
      </c>
      <c r="M89" s="135">
        <f>Table112345[[#This Row],[M (KN.mm)]]/(Table112345[[#This Row],[b (mm)]]*Table112345[[#This Row],[d (mm)]])</f>
        <v>3.2309291338582682</v>
      </c>
      <c r="N89" s="135">
        <f>Table112345[[#This Row],[M (KN.mm)]]/(Table112345[[#This Row],[b (mm)]]*Table112345[[#This Row],[h (mm)]])</f>
        <v>2.9057152604283329</v>
      </c>
      <c r="O89" s="145">
        <f>Table112345[[#This Row],[M (KN.mm)]]/(Table112345[[#This Row],[b (mm)]]*Table112345[[#This Row],[h (mm)]]*Table112345[[#This Row],[L(mm)]])</f>
        <v>5.8963377849600908E-4</v>
      </c>
      <c r="P89" s="145">
        <f>Table112345[[#This Row],[M (KN.mm)]]/(Table112345[[#This Row],[b (mm)]]*Table112345[[#This Row],[d (mm)]]*Table112345[[#This Row],[L(mm)]])</f>
        <v>6.5562685346149915E-4</v>
      </c>
      <c r="Q89" s="145">
        <f>Table112345[[#This Row],[M (KN.mm)]]/(Table112345[[#This Row],[b (mm)]]*Table112345[[#This Row],[h (mm)]]*Table112345[[#This Row],[L(mm)]]*Table112345[[#This Row],[fc (Mpa)]])</f>
        <v>8.0882548490536216E-6</v>
      </c>
      <c r="R89" s="145">
        <f>Table112345[[#This Row],[M (KN.mm)]]/(Table112345[[#This Row],[b (mm)]]*Table112345[[#This Row],[h (mm)]]*Table112345[[#This Row],[L(mm)]]/2)</f>
        <v>1.1792675569920182E-3</v>
      </c>
      <c r="S89" s="145">
        <f>Table112345[[#This Row],[M (KN.mm)]]/(Table112345[[#This Row],[a (mm)]]*Table112345[[#This Row],[b (mm)]]*Table112345[[#This Row],[h (mm)]]*Table112345[[#This Row],[L(mm)]]/2)</f>
        <v>4.7821068815572515E-7</v>
      </c>
      <c r="T89" s="111">
        <f>G89/($AL$5*AH89*0.001*Table112345[[#This Row],[pho (%)]])</f>
        <v>1.2190902967666985E-6</v>
      </c>
      <c r="U89" s="145">
        <f>Table112345[[#This Row],[M (KN.mm)]]/(Table112345[[#This Row],[b (mm)]]*Table112345[[#This Row],[d (mm)]]*Table112345[[#This Row],[pho (%)]])</f>
        <v>2.4853301029678985</v>
      </c>
      <c r="V89" s="111">
        <f>E89*224.8/(2*SQRT(Table112345[[#This Row],[fc (Mpa)]]*145.037)*Table112345[[#This Row],[b (mm)]]*Table112345[[#This Row],[d (mm)]]*(1/25.4)^2)</f>
        <v>0.92398503306392299</v>
      </c>
      <c r="W89" s="111">
        <f>Table112345[[#This Row],[M (KN.mm)]]/$G$88</f>
        <v>1</v>
      </c>
      <c r="X89" s="110">
        <f>V89</f>
        <v>0.92398503306392299</v>
      </c>
      <c r="Y89" s="111">
        <f>3*Table112345[[#This Row],[d (mm)]]</f>
        <v>2466</v>
      </c>
      <c r="Z89" s="160">
        <v>822</v>
      </c>
      <c r="AA89" s="160">
        <v>914</v>
      </c>
      <c r="AB89" s="160">
        <v>613</v>
      </c>
      <c r="AC89" s="160">
        <v>72.900000000000006</v>
      </c>
      <c r="AD89" s="160">
        <v>6555</v>
      </c>
      <c r="AE89" s="160">
        <v>1.3</v>
      </c>
      <c r="AF89" s="160">
        <v>525</v>
      </c>
      <c r="AG89" s="111">
        <f>(1/3-0.21*(MIN(Table112345[[#This Row],[b (mm)]],AA89)/MAX(Table112345[[#This Row],[b (mm)]],AA89))*(MIN(Table112345[[#This Row],[b (mm)]],AA89)^4/(12*MAX(Table112345[[#This Row],[b (mm)]],AA89)^4)))*MAX(Table112345[[#This Row],[b (mm)]],AA89)*MIN(Table112345[[#This Row],[b (mm)]],AA89)^3</f>
        <v>69678906877.611313</v>
      </c>
      <c r="AH89" s="111">
        <f>Table112345[[#This Row],[b (mm)]]*AA89^3/12</f>
        <v>39004778472.666664</v>
      </c>
      <c r="AI89" s="160">
        <v>4928</v>
      </c>
      <c r="AK89" s="126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P73"/>
  <sheetViews>
    <sheetView topLeftCell="K1" zoomScaleNormal="100" workbookViewId="0">
      <selection activeCell="T2" sqref="T2"/>
    </sheetView>
  </sheetViews>
  <sheetFormatPr defaultRowHeight="15" x14ac:dyDescent="0.25"/>
  <cols>
    <col min="1" max="1" width="15" style="140" customWidth="1"/>
    <col min="2" max="2" width="8.28515625" style="142" customWidth="1"/>
    <col min="3" max="3" width="7.42578125" style="2" customWidth="1"/>
    <col min="4" max="4" width="15" style="2" customWidth="1"/>
    <col min="5" max="5" width="10.85546875" style="2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3.140625" style="2" customWidth="1"/>
    <col min="11" max="11" width="8.85546875" style="2" customWidth="1"/>
    <col min="12" max="12" width="8.42578125" style="2" customWidth="1"/>
    <col min="13" max="17" width="10" style="2" customWidth="1"/>
    <col min="18" max="22" width="14.7109375" style="2" customWidth="1"/>
    <col min="23" max="23" width="9.42578125" style="2" customWidth="1"/>
    <col min="24" max="25" width="9.5703125" style="2" customWidth="1"/>
    <col min="26" max="26" width="10.7109375" style="2" customWidth="1"/>
    <col min="27" max="27" width="9.85546875" style="2" customWidth="1"/>
    <col min="28" max="28" width="12.5703125" style="2" customWidth="1"/>
    <col min="29" max="29" width="11.7109375" style="2" customWidth="1"/>
    <col min="30" max="30" width="11" style="2" customWidth="1"/>
    <col min="31" max="31" width="12.42578125" style="2" customWidth="1"/>
    <col min="32" max="33" width="14.28515625" style="2" customWidth="1"/>
    <col min="34" max="34" width="15.28515625" style="2" customWidth="1"/>
    <col min="35" max="35" width="13.5703125" style="2" customWidth="1"/>
    <col min="36" max="36" width="12.42578125" style="1" customWidth="1"/>
    <col min="37" max="37" width="9.140625" style="1"/>
    <col min="38" max="16384" width="9.140625" style="2"/>
  </cols>
  <sheetData>
    <row r="1" spans="1:37" ht="80.25" customHeight="1" x14ac:dyDescent="0.25">
      <c r="A1" s="231" t="s">
        <v>59</v>
      </c>
      <c r="B1" s="232" t="s">
        <v>57</v>
      </c>
      <c r="C1" s="74" t="s">
        <v>58</v>
      </c>
      <c r="D1" s="74" t="s">
        <v>194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91</v>
      </c>
      <c r="W1" s="3" t="s">
        <v>5</v>
      </c>
      <c r="X1" s="17" t="s">
        <v>9</v>
      </c>
      <c r="Y1" s="17" t="s">
        <v>12</v>
      </c>
      <c r="Z1" s="2" t="s">
        <v>76</v>
      </c>
      <c r="AA1" s="17" t="s">
        <v>77</v>
      </c>
      <c r="AB1" s="17" t="s">
        <v>10</v>
      </c>
      <c r="AC1" s="17" t="s">
        <v>11</v>
      </c>
      <c r="AD1" s="17" t="s">
        <v>18</v>
      </c>
      <c r="AE1" s="17" t="s">
        <v>15</v>
      </c>
      <c r="AF1" s="17" t="s">
        <v>17</v>
      </c>
      <c r="AG1" s="17" t="s">
        <v>78</v>
      </c>
      <c r="AH1" s="1" t="s">
        <v>50</v>
      </c>
      <c r="AI1" s="1" t="s">
        <v>75</v>
      </c>
      <c r="AJ1" s="1" t="s">
        <v>80</v>
      </c>
      <c r="AK1" s="1" t="s">
        <v>89</v>
      </c>
    </row>
    <row r="2" spans="1:37" x14ac:dyDescent="0.25">
      <c r="A2" s="152" t="s">
        <v>94</v>
      </c>
      <c r="B2" s="143">
        <v>1</v>
      </c>
      <c r="C2" s="111">
        <v>1</v>
      </c>
      <c r="D2" s="111">
        <f>Table1123456[[#This Row],[a (mm)]]/Table1123456[[#This Row],[d (mm)]]</f>
        <v>3.01</v>
      </c>
      <c r="E2" s="111">
        <v>58.268800000000006</v>
      </c>
      <c r="F2" s="137">
        <f>Table1123456[[#This Row],[d (mm)]]</f>
        <v>232</v>
      </c>
      <c r="G2" s="111">
        <f>E2*W2</f>
        <v>40690.268415999999</v>
      </c>
      <c r="H2" s="111">
        <f t="shared" ref="H2:H53" si="0">G2/($AJ$5*AF2*0.001)</f>
        <v>2.1424453931748079E-6</v>
      </c>
      <c r="I2" s="111">
        <f>G2/(Table1123456[[#This Row],[b (mm)]]*X2^2)</f>
        <v>2.4786473713962688E-3</v>
      </c>
      <c r="J2" s="111">
        <f t="shared" ref="J2:J53" si="1">G2/(AB2*AD2*X2*0.001)</f>
        <v>0.392106165884194</v>
      </c>
      <c r="K2" s="111">
        <f t="shared" ref="K2:K53" si="2">E2/($AJ$4*AE2*0.001)</f>
        <v>6.7896768503715051E-7</v>
      </c>
      <c r="L2" s="111">
        <f>E2/(Table1123456[[#This Row],[b (mm)]]*X2)</f>
        <v>8.2347088750706619E-4</v>
      </c>
      <c r="M2" s="111">
        <f>Table1123456[[#This Row],[M (KN.mm)]]/(Table1123456[[#This Row],[b (mm)]]*Table1123456[[#This Row],[d (mm)]])</f>
        <v>0.57504619016393443</v>
      </c>
      <c r="N2" s="111">
        <f>Table1123456[[#This Row],[M (KN.mm)]]/(Table1123456[[#This Row],[b (mm)]]*Table1123456[[#This Row],[h (mm)]])</f>
        <v>0.43741218399355009</v>
      </c>
      <c r="O2" s="111">
        <f>Table1123456[[#This Row],[M (KN.mm)]]/(Table1123456[[#This Row],[b (mm)]]*Table1123456[[#This Row],[h (mm)]]*Table1123456[[#This Row],[L(mm)]])</f>
        <v>3.1310822046782399E-4</v>
      </c>
      <c r="P2" s="111">
        <f>Table1123456[[#This Row],[M (KN.mm)]]/(Table1123456[[#This Row],[b (mm)]]*Table1123456[[#This Row],[d (mm)]]*Table1123456[[#This Row],[L(mm)]])</f>
        <v>4.1162934156330308E-4</v>
      </c>
      <c r="Q2" s="111">
        <f>Table1123456[[#This Row],[M (KN.mm)]]/(Table1123456[[#This Row],[b (mm)]]*Table1123456[[#This Row],[h (mm)]]*Table1123456[[#This Row],[L(mm)]]*Table1123456[[#This Row],[fc (Mpa)]])</f>
        <v>4.7368868452015735E-6</v>
      </c>
      <c r="R2" s="111">
        <f>Table1123456[[#This Row],[M (KN.mm)]]/(Table1123456[[#This Row],[b (mm)]]*Table1123456[[#This Row],[h (mm)]]*Table1123456[[#This Row],[L(mm)]]/2)</f>
        <v>6.2621644093564799E-4</v>
      </c>
      <c r="S2" s="111">
        <f>Table1123456[[#This Row],[M (KN.mm)]]/(Table1123456[[#This Row],[a (mm)]]*Table1123456[[#This Row],[b (mm)]]*Table1123456[[#This Row],[h (mm)]]*Table1123456[[#This Row],[L(mm)]]/2)</f>
        <v>8.9674710868319404E-7</v>
      </c>
      <c r="T2" s="111">
        <f>G2/($AJ$5*AF2*0.001*Table1123456[[#This Row],[pho (%)]])</f>
        <v>1.7853711609790065E-6</v>
      </c>
      <c r="U2" s="111">
        <f>Table1123456[[#This Row],[M (KN.mm)]]/(Table1123456[[#This Row],[b (mm)]]*Table1123456[[#This Row],[d (mm)]]*Table1123456[[#This Row],[pho (%)]])</f>
        <v>0.47920515846994532</v>
      </c>
      <c r="V2" s="111">
        <f>E2/(Table1123456[[#This Row],[b (mm)]]*Y2*Table1123456[[#This Row],[fc (Mpa)]]*Table1123456[[#This Row],[a (mm)]])</f>
        <v>1.3570018994694923E-8</v>
      </c>
      <c r="W2" s="111">
        <f>3.01*Table1123456[[#This Row],[d (mm)]]</f>
        <v>698.31999999999994</v>
      </c>
      <c r="X2" s="111">
        <v>232</v>
      </c>
      <c r="Y2" s="111">
        <v>305</v>
      </c>
      <c r="Z2" s="111">
        <v>305</v>
      </c>
      <c r="AA2" s="7">
        <v>66.099999999999994</v>
      </c>
      <c r="AB2" s="111">
        <v>852</v>
      </c>
      <c r="AC2" s="111">
        <v>1.2</v>
      </c>
      <c r="AD2" s="111">
        <v>525</v>
      </c>
      <c r="AE2" s="111">
        <f>(1/3-0.21*(MIN(Table1123456[[#This Row],[b (mm)]],Y2)/MAX(Table1123456[[#This Row],[b (mm)]],Y2))*(MIN(Table1123456[[#This Row],[b (mm)]],Y2)^4/(12*MAX(Table1123456[[#This Row],[b (mm)]],Y2)^4)))*MAX(Table1123456[[#This Row],[b (mm)]],Y2)*MIN(Table1123456[[#This Row],[b (mm)]],Y2)^3</f>
        <v>2733111322.395833</v>
      </c>
      <c r="AF2" s="111">
        <f>Table1123456[[#This Row],[b (mm)]]*Y2^3/12</f>
        <v>721137552.08333337</v>
      </c>
      <c r="AG2" s="111">
        <v>1397</v>
      </c>
      <c r="AH2" s="1"/>
      <c r="AI2" s="1"/>
    </row>
    <row r="3" spans="1:37" x14ac:dyDescent="0.25">
      <c r="A3" s="152" t="s">
        <v>94</v>
      </c>
      <c r="B3" s="143">
        <v>2</v>
      </c>
      <c r="C3" s="111">
        <v>2</v>
      </c>
      <c r="D3" s="111">
        <f>Table1123456[[#This Row],[a (mm)]]/Table1123456[[#This Row],[d (mm)]]</f>
        <v>3.01</v>
      </c>
      <c r="E3" s="111">
        <v>62.272000000000006</v>
      </c>
      <c r="F3" s="137">
        <f>Table1123456[[#This Row],[d (mm)]]</f>
        <v>232</v>
      </c>
      <c r="G3" s="111">
        <f t="shared" ref="G3:G54" si="3">E3*W3</f>
        <v>43485.783040000002</v>
      </c>
      <c r="H3" s="111">
        <f t="shared" si="0"/>
        <v>2.2896362980494132E-6</v>
      </c>
      <c r="I3" s="111">
        <f>G3/(Table1123456[[#This Row],[b (mm)]]*X3^2)</f>
        <v>2.6489361221028831E-3</v>
      </c>
      <c r="J3" s="111">
        <f t="shared" si="1"/>
        <v>0.41904475743348985</v>
      </c>
      <c r="K3" s="111">
        <f t="shared" si="2"/>
        <v>7.2561431988703105E-7</v>
      </c>
      <c r="L3" s="111">
        <f>E3/(Table1123456[[#This Row],[b (mm)]]*X3)</f>
        <v>8.8004522328999444E-4</v>
      </c>
      <c r="M3" s="111">
        <f>Table1123456[[#This Row],[M (KN.mm)]]/(Table1123456[[#This Row],[b (mm)]]*Table1123456[[#This Row],[d (mm)]])</f>
        <v>0.61455318032786888</v>
      </c>
      <c r="N3" s="111">
        <f>Table1123456[[#This Row],[M (KN.mm)]]/(Table1123456[[#This Row],[b (mm)]]*Table1123456[[#This Row],[h (mm)]])</f>
        <v>0.46746340274119863</v>
      </c>
      <c r="O3" s="111">
        <f>Table1123456[[#This Row],[M (KN.mm)]]/(Table1123456[[#This Row],[b (mm)]]*Table1123456[[#This Row],[h (mm)]]*Table1123456[[#This Row],[L(mm)]])</f>
        <v>3.3461947225568977E-4</v>
      </c>
      <c r="P3" s="111">
        <f>Table1123456[[#This Row],[M (KN.mm)]]/(Table1123456[[#This Row],[b (mm)]]*Table1123456[[#This Row],[d (mm)]]*Table1123456[[#This Row],[L(mm)]])</f>
        <v>4.3990921999131633E-4</v>
      </c>
      <c r="Q3" s="111">
        <f>Table1123456[[#This Row],[M (KN.mm)]]/(Table1123456[[#This Row],[b (mm)]]*Table1123456[[#This Row],[h (mm)]]*Table1123456[[#This Row],[L(mm)]]*Table1123456[[#This Row],[fc (Mpa)]])</f>
        <v>5.0623218192993917E-6</v>
      </c>
      <c r="R3" s="111">
        <f>Table1123456[[#This Row],[M (KN.mm)]]/(Table1123456[[#This Row],[b (mm)]]*Table1123456[[#This Row],[h (mm)]]*Table1123456[[#This Row],[L(mm)]]/2)</f>
        <v>6.6923894451137954E-4</v>
      </c>
      <c r="S3" s="111">
        <f>Table1123456[[#This Row],[M (KN.mm)]]/(Table1123456[[#This Row],[a (mm)]]*Table1123456[[#This Row],[b (mm)]]*Table1123456[[#This Row],[h (mm)]]*Table1123456[[#This Row],[L(mm)]]/2)</f>
        <v>9.5835568866906242E-7</v>
      </c>
      <c r="T3" s="111">
        <f>G3/($AJ$5*AF3*0.001*Table1123456[[#This Row],[pho (%)]])</f>
        <v>1.9080302483745108E-6</v>
      </c>
      <c r="U3" s="111">
        <f>Table1123456[[#This Row],[M (KN.mm)]]/(Table1123456[[#This Row],[b (mm)]]*Table1123456[[#This Row],[d (mm)]]*Table1123456[[#This Row],[pho (%)]])</f>
        <v>0.51212765027322404</v>
      </c>
      <c r="V3" s="111">
        <f>E3/(Table1123456[[#This Row],[b (mm)]]*Y3*Table1123456[[#This Row],[fc (Mpa)]]*Table1123456[[#This Row],[a (mm)]])</f>
        <v>1.4502310376009841E-8</v>
      </c>
      <c r="W3" s="111">
        <f>3.01*Table1123456[[#This Row],[d (mm)]]</f>
        <v>698.31999999999994</v>
      </c>
      <c r="X3" s="111">
        <v>232</v>
      </c>
      <c r="Y3" s="111">
        <v>305</v>
      </c>
      <c r="Z3" s="111">
        <v>305</v>
      </c>
      <c r="AA3" s="7">
        <v>66.099999999999994</v>
      </c>
      <c r="AB3" s="111">
        <v>852</v>
      </c>
      <c r="AC3" s="111">
        <v>1.2</v>
      </c>
      <c r="AD3" s="111">
        <v>525</v>
      </c>
      <c r="AE3" s="111">
        <f>(1/3-0.21*(MIN(Table1123456[[#This Row],[b (mm)]],Y3)/MAX(Table1123456[[#This Row],[b (mm)]],Y3))*(MIN(Table1123456[[#This Row],[b (mm)]],Y3)^4/(12*MAX(Table1123456[[#This Row],[b (mm)]],Y3)^4)))*MAX(Table1123456[[#This Row],[b (mm)]],Y3)*MIN(Table1123456[[#This Row],[b (mm)]],Y3)^3</f>
        <v>2733111322.395833</v>
      </c>
      <c r="AF3" s="111">
        <f>Table1123456[[#This Row],[b (mm)]]*Y3^3/12</f>
        <v>721137552.08333337</v>
      </c>
      <c r="AG3" s="111">
        <v>1397</v>
      </c>
      <c r="AH3" s="1"/>
      <c r="AI3" s="1"/>
    </row>
    <row r="4" spans="1:37" x14ac:dyDescent="0.25">
      <c r="A4" s="152" t="s">
        <v>94</v>
      </c>
      <c r="B4" s="143">
        <v>3</v>
      </c>
      <c r="C4" s="111">
        <v>3</v>
      </c>
      <c r="D4" s="111">
        <f>Table1123456[[#This Row],[a (mm)]]/Table1123456[[#This Row],[d (mm)]]</f>
        <v>3.01</v>
      </c>
      <c r="E4" s="111">
        <v>71.168000000000006</v>
      </c>
      <c r="F4" s="137">
        <f>Table1123456[[#This Row],[d (mm)]]</f>
        <v>232</v>
      </c>
      <c r="G4" s="111">
        <f t="shared" si="3"/>
        <v>49698.037759999999</v>
      </c>
      <c r="H4" s="111">
        <f t="shared" si="0"/>
        <v>2.6167271977707578E-6</v>
      </c>
      <c r="I4" s="111">
        <f>G4/(Table1123456[[#This Row],[b (mm)]]*X4^2)</f>
        <v>3.0273555681175806E-3</v>
      </c>
      <c r="J4" s="111">
        <f t="shared" si="1"/>
        <v>0.4789082942097026</v>
      </c>
      <c r="K4" s="111">
        <f t="shared" si="2"/>
        <v>8.2927350844232122E-7</v>
      </c>
      <c r="L4" s="111">
        <f>E4/(Table1123456[[#This Row],[b (mm)]]*X4)</f>
        <v>1.0057659694742793E-3</v>
      </c>
      <c r="M4" s="111">
        <f>Table1123456[[#This Row],[M (KN.mm)]]/(Table1123456[[#This Row],[b (mm)]]*Table1123456[[#This Row],[d (mm)]])</f>
        <v>0.70234649180327868</v>
      </c>
      <c r="N4" s="111">
        <f>Table1123456[[#This Row],[M (KN.mm)]]/(Table1123456[[#This Row],[b (mm)]]*Table1123456[[#This Row],[h (mm)]])</f>
        <v>0.53424388884708407</v>
      </c>
      <c r="O4" s="111">
        <f>Table1123456[[#This Row],[M (KN.mm)]]/(Table1123456[[#This Row],[b (mm)]]*Table1123456[[#This Row],[h (mm)]]*Table1123456[[#This Row],[L(mm)]])</f>
        <v>3.8242225400650256E-4</v>
      </c>
      <c r="P4" s="111">
        <f>Table1123456[[#This Row],[M (KN.mm)]]/(Table1123456[[#This Row],[b (mm)]]*Table1123456[[#This Row],[d (mm)]]*Table1123456[[#This Row],[L(mm)]])</f>
        <v>5.0275339427579007E-4</v>
      </c>
      <c r="Q4" s="111">
        <f>Table1123456[[#This Row],[M (KN.mm)]]/(Table1123456[[#This Row],[b (mm)]]*Table1123456[[#This Row],[h (mm)]]*Table1123456[[#This Row],[L(mm)]]*Table1123456[[#This Row],[fc (Mpa)]])</f>
        <v>5.7855106506278761E-6</v>
      </c>
      <c r="R4" s="111">
        <f>Table1123456[[#This Row],[M (KN.mm)]]/(Table1123456[[#This Row],[b (mm)]]*Table1123456[[#This Row],[h (mm)]]*Table1123456[[#This Row],[L(mm)]]/2)</f>
        <v>7.6484450801300513E-4</v>
      </c>
      <c r="S4" s="111">
        <f>Table1123456[[#This Row],[M (KN.mm)]]/(Table1123456[[#This Row],[a (mm)]]*Table1123456[[#This Row],[b (mm)]]*Table1123456[[#This Row],[h (mm)]]*Table1123456[[#This Row],[L(mm)]]/2)</f>
        <v>1.0952636441932141E-6</v>
      </c>
      <c r="T4" s="111">
        <f>G4/($AJ$5*AF4*0.001*Table1123456[[#This Row],[pho (%)]])</f>
        <v>2.180605998142298E-6</v>
      </c>
      <c r="U4" s="111">
        <f>Table1123456[[#This Row],[M (KN.mm)]]/(Table1123456[[#This Row],[b (mm)]]*Table1123456[[#This Row],[d (mm)]]*Table1123456[[#This Row],[pho (%)]])</f>
        <v>0.58528874316939894</v>
      </c>
      <c r="V4" s="111">
        <f>E4/(Table1123456[[#This Row],[b (mm)]]*Y4*Table1123456[[#This Row],[fc (Mpa)]]*Table1123456[[#This Row],[a (mm)]])</f>
        <v>1.6574069001154104E-8</v>
      </c>
      <c r="W4" s="111">
        <f>3.01*Table1123456[[#This Row],[d (mm)]]</f>
        <v>698.31999999999994</v>
      </c>
      <c r="X4" s="111">
        <v>232</v>
      </c>
      <c r="Y4" s="111">
        <v>305</v>
      </c>
      <c r="Z4" s="111">
        <v>305</v>
      </c>
      <c r="AA4" s="7">
        <v>66.099999999999994</v>
      </c>
      <c r="AB4" s="111">
        <v>852</v>
      </c>
      <c r="AC4" s="111">
        <v>1.2</v>
      </c>
      <c r="AD4" s="111">
        <v>525</v>
      </c>
      <c r="AE4" s="111">
        <f>(1/3-0.21*(MIN(Table1123456[[#This Row],[b (mm)]],Y4)/MAX(Table1123456[[#This Row],[b (mm)]],Y4))*(MIN(Table1123456[[#This Row],[b (mm)]],Y4)^4/(12*MAX(Table1123456[[#This Row],[b (mm)]],Y4)^4)))*MAX(Table1123456[[#This Row],[b (mm)]],Y4)*MIN(Table1123456[[#This Row],[b (mm)]],Y4)^3</f>
        <v>2733111322.395833</v>
      </c>
      <c r="AF4" s="111">
        <f>Table1123456[[#This Row],[b (mm)]]*Y4^3/12</f>
        <v>721137552.08333337</v>
      </c>
      <c r="AG4" s="111">
        <v>1397</v>
      </c>
      <c r="AH4" s="138"/>
      <c r="AI4" s="126" t="s">
        <v>7</v>
      </c>
      <c r="AJ4" s="107">
        <v>31.4</v>
      </c>
    </row>
    <row r="5" spans="1:37" x14ac:dyDescent="0.25">
      <c r="A5" s="152" t="s">
        <v>94</v>
      </c>
      <c r="B5" s="143">
        <v>4</v>
      </c>
      <c r="C5" s="111">
        <v>4</v>
      </c>
      <c r="D5" s="111">
        <f>Table1123456[[#This Row],[a (mm)]]/Table1123456[[#This Row],[d (mm)]]</f>
        <v>3.01</v>
      </c>
      <c r="E5" s="111">
        <v>80.064000000000007</v>
      </c>
      <c r="F5" s="137">
        <f>Table1123456[[#This Row],[d (mm)]]</f>
        <v>232</v>
      </c>
      <c r="G5" s="111">
        <f t="shared" si="3"/>
        <v>55910.292479999996</v>
      </c>
      <c r="H5" s="111">
        <f t="shared" si="0"/>
        <v>2.943818097492102E-6</v>
      </c>
      <c r="I5" s="111">
        <f>G5/(Table1123456[[#This Row],[b (mm)]]*X5^2)</f>
        <v>3.405775014132278E-3</v>
      </c>
      <c r="J5" s="111">
        <f t="shared" si="1"/>
        <v>0.53877183098591541</v>
      </c>
      <c r="K5" s="111">
        <f t="shared" si="2"/>
        <v>9.3293269699761139E-7</v>
      </c>
      <c r="L5" s="111">
        <f>E5/(Table1123456[[#This Row],[b (mm)]]*X5)</f>
        <v>1.1314867156585642E-3</v>
      </c>
      <c r="M5" s="111">
        <f>Table1123456[[#This Row],[M (KN.mm)]]/(Table1123456[[#This Row],[b (mm)]]*Table1123456[[#This Row],[d (mm)]])</f>
        <v>0.79013980327868849</v>
      </c>
      <c r="N5" s="111">
        <f>Table1123456[[#This Row],[M (KN.mm)]]/(Table1123456[[#This Row],[b (mm)]]*Table1123456[[#This Row],[h (mm)]])</f>
        <v>0.60102437495296956</v>
      </c>
      <c r="O5" s="111">
        <f>Table1123456[[#This Row],[M (KN.mm)]]/(Table1123456[[#This Row],[b (mm)]]*Table1123456[[#This Row],[h (mm)]]*Table1123456[[#This Row],[L(mm)]])</f>
        <v>4.3022503575731541E-4</v>
      </c>
      <c r="P5" s="111">
        <f>Table1123456[[#This Row],[M (KN.mm)]]/(Table1123456[[#This Row],[b (mm)]]*Table1123456[[#This Row],[d (mm)]]*Table1123456[[#This Row],[L(mm)]])</f>
        <v>5.655975685602638E-4</v>
      </c>
      <c r="Q5" s="111">
        <f>Table1123456[[#This Row],[M (KN.mm)]]/(Table1123456[[#This Row],[b (mm)]]*Table1123456[[#This Row],[h (mm)]]*Table1123456[[#This Row],[L(mm)]]*Table1123456[[#This Row],[fc (Mpa)]])</f>
        <v>6.5086994819563597E-6</v>
      </c>
      <c r="R5" s="111">
        <f>Table1123456[[#This Row],[M (KN.mm)]]/(Table1123456[[#This Row],[b (mm)]]*Table1123456[[#This Row],[h (mm)]]*Table1123456[[#This Row],[L(mm)]]/2)</f>
        <v>8.6045007151463082E-4</v>
      </c>
      <c r="S5" s="111">
        <f>Table1123456[[#This Row],[M (KN.mm)]]/(Table1123456[[#This Row],[a (mm)]]*Table1123456[[#This Row],[b (mm)]]*Table1123456[[#This Row],[h (mm)]]*Table1123456[[#This Row],[L(mm)]]/2)</f>
        <v>1.2321715997173658E-6</v>
      </c>
      <c r="T5" s="111">
        <f>G5/($AJ$5*AF5*0.001*Table1123456[[#This Row],[pho (%)]])</f>
        <v>2.4531817479100853E-6</v>
      </c>
      <c r="U5" s="111">
        <f>Table1123456[[#This Row],[M (KN.mm)]]/(Table1123456[[#This Row],[b (mm)]]*Table1123456[[#This Row],[d (mm)]]*Table1123456[[#This Row],[pho (%)]])</f>
        <v>0.65844983606557372</v>
      </c>
      <c r="V5" s="111">
        <f>E5/(Table1123456[[#This Row],[b (mm)]]*Y5*Table1123456[[#This Row],[fc (Mpa)]]*Table1123456[[#This Row],[a (mm)]])</f>
        <v>1.8645827626298366E-8</v>
      </c>
      <c r="W5" s="111">
        <f>3.01*Table1123456[[#This Row],[d (mm)]]</f>
        <v>698.31999999999994</v>
      </c>
      <c r="X5" s="111">
        <v>232</v>
      </c>
      <c r="Y5" s="111">
        <v>305</v>
      </c>
      <c r="Z5" s="111">
        <v>305</v>
      </c>
      <c r="AA5" s="7">
        <v>66.099999999999994</v>
      </c>
      <c r="AB5" s="111">
        <v>852</v>
      </c>
      <c r="AC5" s="111">
        <v>1.2</v>
      </c>
      <c r="AD5" s="111">
        <v>525</v>
      </c>
      <c r="AE5" s="111">
        <f>(1/3-0.21*(MIN(Table1123456[[#This Row],[b (mm)]],Y5)/MAX(Table1123456[[#This Row],[b (mm)]],Y5))*(MIN(Table1123456[[#This Row],[b (mm)]],Y5)^4/(12*MAX(Table1123456[[#This Row],[b (mm)]],Y5)^4)))*MAX(Table1123456[[#This Row],[b (mm)]],Y5)*MIN(Table1123456[[#This Row],[b (mm)]],Y5)^3</f>
        <v>2733111322.395833</v>
      </c>
      <c r="AF5" s="111">
        <f>Table1123456[[#This Row],[b (mm)]]*Y5^3/12</f>
        <v>721137552.08333337</v>
      </c>
      <c r="AG5" s="111">
        <v>1397</v>
      </c>
      <c r="AH5" s="138"/>
      <c r="AI5" s="126" t="s">
        <v>8</v>
      </c>
      <c r="AJ5" s="107">
        <f>4700*SQRT(AJ4)</f>
        <v>26336.780365109171</v>
      </c>
    </row>
    <row r="6" spans="1:37" x14ac:dyDescent="0.25">
      <c r="A6" s="152" t="s">
        <v>94</v>
      </c>
      <c r="B6" s="143">
        <v>5</v>
      </c>
      <c r="C6" s="111">
        <v>5</v>
      </c>
      <c r="D6" s="111">
        <f>Table1123456[[#This Row],[a (mm)]]/Table1123456[[#This Row],[d (mm)]]</f>
        <v>3.01</v>
      </c>
      <c r="E6" s="111">
        <v>88.960000000000008</v>
      </c>
      <c r="F6" s="137">
        <f>Table1123456[[#This Row],[d (mm)]]</f>
        <v>232</v>
      </c>
      <c r="G6" s="111">
        <f t="shared" si="3"/>
        <v>62122.547200000001</v>
      </c>
      <c r="H6" s="111">
        <f t="shared" si="0"/>
        <v>3.270908997213447E-6</v>
      </c>
      <c r="I6" s="111">
        <f>G6/(Table1123456[[#This Row],[b (mm)]]*X6^2)</f>
        <v>3.7841944601469759E-3</v>
      </c>
      <c r="J6" s="111">
        <f t="shared" si="1"/>
        <v>0.59863536776212833</v>
      </c>
      <c r="K6" s="111">
        <f t="shared" si="2"/>
        <v>1.0365918855529014E-6</v>
      </c>
      <c r="L6" s="111">
        <f>E6/(Table1123456[[#This Row],[b (mm)]]*X6)</f>
        <v>1.2572074618428491E-3</v>
      </c>
      <c r="M6" s="111">
        <f>Table1123456[[#This Row],[M (KN.mm)]]/(Table1123456[[#This Row],[b (mm)]]*Table1123456[[#This Row],[d (mm)]])</f>
        <v>0.87793311475409841</v>
      </c>
      <c r="N6" s="111">
        <f>Table1123456[[#This Row],[M (KN.mm)]]/(Table1123456[[#This Row],[b (mm)]]*Table1123456[[#This Row],[h (mm)]])</f>
        <v>0.66780486105885517</v>
      </c>
      <c r="O6" s="111">
        <f>Table1123456[[#This Row],[M (KN.mm)]]/(Table1123456[[#This Row],[b (mm)]]*Table1123456[[#This Row],[h (mm)]]*Table1123456[[#This Row],[L(mm)]])</f>
        <v>4.7802781750812826E-4</v>
      </c>
      <c r="P6" s="111">
        <f>Table1123456[[#This Row],[M (KN.mm)]]/(Table1123456[[#This Row],[b (mm)]]*Table1123456[[#This Row],[d (mm)]]*Table1123456[[#This Row],[L(mm)]])</f>
        <v>6.2844174284473753E-4</v>
      </c>
      <c r="Q6" s="111">
        <f>Table1123456[[#This Row],[M (KN.mm)]]/(Table1123456[[#This Row],[b (mm)]]*Table1123456[[#This Row],[h (mm)]]*Table1123456[[#This Row],[L(mm)]]*Table1123456[[#This Row],[fc (Mpa)]])</f>
        <v>7.2318883132848449E-6</v>
      </c>
      <c r="R6" s="111">
        <f>Table1123456[[#This Row],[M (KN.mm)]]/(Table1123456[[#This Row],[b (mm)]]*Table1123456[[#This Row],[h (mm)]]*Table1123456[[#This Row],[L(mm)]]/2)</f>
        <v>9.5605563501625652E-4</v>
      </c>
      <c r="S6" s="111">
        <f>Table1123456[[#This Row],[M (KN.mm)]]/(Table1123456[[#This Row],[a (mm)]]*Table1123456[[#This Row],[b (mm)]]*Table1123456[[#This Row],[h (mm)]]*Table1123456[[#This Row],[L(mm)]]/2)</f>
        <v>1.3690795552415177E-6</v>
      </c>
      <c r="T6" s="111">
        <f>G6/($AJ$5*AF6*0.001*Table1123456[[#This Row],[pho (%)]])</f>
        <v>2.7257574976778725E-6</v>
      </c>
      <c r="U6" s="111">
        <f>Table1123456[[#This Row],[M (KN.mm)]]/(Table1123456[[#This Row],[b (mm)]]*Table1123456[[#This Row],[d (mm)]]*Table1123456[[#This Row],[pho (%)]])</f>
        <v>0.73161092896174862</v>
      </c>
      <c r="V6" s="111">
        <f>E6/(Table1123456[[#This Row],[b (mm)]]*Y6*Table1123456[[#This Row],[fc (Mpa)]]*Table1123456[[#This Row],[a (mm)]])</f>
        <v>2.0717586251442631E-8</v>
      </c>
      <c r="W6" s="111">
        <f>3.01*Table1123456[[#This Row],[d (mm)]]</f>
        <v>698.31999999999994</v>
      </c>
      <c r="X6" s="111">
        <v>232</v>
      </c>
      <c r="Y6" s="111">
        <v>305</v>
      </c>
      <c r="Z6" s="111">
        <v>305</v>
      </c>
      <c r="AA6" s="7">
        <v>66.099999999999994</v>
      </c>
      <c r="AB6" s="111">
        <v>852</v>
      </c>
      <c r="AC6" s="111">
        <v>1.2</v>
      </c>
      <c r="AD6" s="111">
        <v>525</v>
      </c>
      <c r="AE6" s="111">
        <f>(1/3-0.21*(MIN(Table1123456[[#This Row],[b (mm)]],Y6)/MAX(Table1123456[[#This Row],[b (mm)]],Y6))*(MIN(Table1123456[[#This Row],[b (mm)]],Y6)^4/(12*MAX(Table1123456[[#This Row],[b (mm)]],Y6)^4)))*MAX(Table1123456[[#This Row],[b (mm)]],Y6)*MIN(Table1123456[[#This Row],[b (mm)]],Y6)^3</f>
        <v>2733111322.395833</v>
      </c>
      <c r="AF6" s="111">
        <f>Table1123456[[#This Row],[b (mm)]]*Y6^3/12</f>
        <v>721137552.08333337</v>
      </c>
      <c r="AG6" s="111">
        <v>1397</v>
      </c>
      <c r="AH6" s="138"/>
      <c r="AI6" s="126" t="s">
        <v>16</v>
      </c>
      <c r="AJ6" s="107">
        <f>AJ5/(2*(1+0.15))</f>
        <v>11450.774071786596</v>
      </c>
    </row>
    <row r="7" spans="1:37" x14ac:dyDescent="0.25">
      <c r="A7" s="152" t="s">
        <v>94</v>
      </c>
      <c r="B7" s="143">
        <v>6</v>
      </c>
      <c r="C7" s="111">
        <v>6</v>
      </c>
      <c r="D7" s="111">
        <f>Table1123456[[#This Row],[a (mm)]]/Table1123456[[#This Row],[d (mm)]]</f>
        <v>3.01</v>
      </c>
      <c r="E7" s="111">
        <v>97.856000000000009</v>
      </c>
      <c r="F7" s="137">
        <f>Table1123456[[#This Row],[d (mm)]]</f>
        <v>232</v>
      </c>
      <c r="G7" s="111">
        <f t="shared" si="3"/>
        <v>68334.801919999998</v>
      </c>
      <c r="H7" s="111">
        <f t="shared" si="0"/>
        <v>3.5979998969347916E-6</v>
      </c>
      <c r="I7" s="111">
        <f>G7/(Table1123456[[#This Row],[b (mm)]]*X7^2)</f>
        <v>4.1626139061616734E-3</v>
      </c>
      <c r="J7" s="111">
        <f t="shared" si="1"/>
        <v>0.65849890453834115</v>
      </c>
      <c r="K7" s="111">
        <f t="shared" si="2"/>
        <v>1.1402510741081916E-6</v>
      </c>
      <c r="L7" s="111">
        <f>E7/(Table1123456[[#This Row],[b (mm)]]*X7)</f>
        <v>1.382928208027134E-3</v>
      </c>
      <c r="M7" s="111">
        <f>Table1123456[[#This Row],[M (KN.mm)]]/(Table1123456[[#This Row],[b (mm)]]*Table1123456[[#This Row],[d (mm)]])</f>
        <v>0.96572642622950822</v>
      </c>
      <c r="N7" s="111">
        <f>Table1123456[[#This Row],[M (KN.mm)]]/(Table1123456[[#This Row],[b (mm)]]*Table1123456[[#This Row],[h (mm)]])</f>
        <v>0.73458534716474067</v>
      </c>
      <c r="O7" s="111">
        <f>Table1123456[[#This Row],[M (KN.mm)]]/(Table1123456[[#This Row],[b (mm)]]*Table1123456[[#This Row],[h (mm)]]*Table1123456[[#This Row],[L(mm)]])</f>
        <v>5.25830599258941E-4</v>
      </c>
      <c r="P7" s="111">
        <f>Table1123456[[#This Row],[M (KN.mm)]]/(Table1123456[[#This Row],[b (mm)]]*Table1123456[[#This Row],[d (mm)]]*Table1123456[[#This Row],[L(mm)]])</f>
        <v>6.9128591712921126E-4</v>
      </c>
      <c r="Q7" s="111">
        <f>Table1123456[[#This Row],[M (KN.mm)]]/(Table1123456[[#This Row],[b (mm)]]*Table1123456[[#This Row],[h (mm)]]*Table1123456[[#This Row],[L(mm)]]*Table1123456[[#This Row],[fc (Mpa)]])</f>
        <v>7.9550771446133285E-6</v>
      </c>
      <c r="R7" s="111">
        <f>Table1123456[[#This Row],[M (KN.mm)]]/(Table1123456[[#This Row],[b (mm)]]*Table1123456[[#This Row],[h (mm)]]*Table1123456[[#This Row],[L(mm)]]/2)</f>
        <v>1.051661198517882E-3</v>
      </c>
      <c r="S7" s="111">
        <f>Table1123456[[#This Row],[M (KN.mm)]]/(Table1123456[[#This Row],[a (mm)]]*Table1123456[[#This Row],[b (mm)]]*Table1123456[[#This Row],[h (mm)]]*Table1123456[[#This Row],[L(mm)]]/2)</f>
        <v>1.5059875107656694E-6</v>
      </c>
      <c r="T7" s="111">
        <f>G7/($AJ$5*AF7*0.001*Table1123456[[#This Row],[pho (%)]])</f>
        <v>2.9983332474456598E-6</v>
      </c>
      <c r="U7" s="111">
        <f>Table1123456[[#This Row],[M (KN.mm)]]/(Table1123456[[#This Row],[b (mm)]]*Table1123456[[#This Row],[d (mm)]]*Table1123456[[#This Row],[pho (%)]])</f>
        <v>0.80477202185792351</v>
      </c>
      <c r="V7" s="111">
        <f>E7/(Table1123456[[#This Row],[b (mm)]]*Y7*Table1123456[[#This Row],[fc (Mpa)]]*Table1123456[[#This Row],[a (mm)]])</f>
        <v>2.2789344876586893E-8</v>
      </c>
      <c r="W7" s="111">
        <f>3.01*Table1123456[[#This Row],[d (mm)]]</f>
        <v>698.31999999999994</v>
      </c>
      <c r="X7" s="111">
        <v>232</v>
      </c>
      <c r="Y7" s="111">
        <v>305</v>
      </c>
      <c r="Z7" s="111">
        <v>305</v>
      </c>
      <c r="AA7" s="7">
        <v>66.099999999999994</v>
      </c>
      <c r="AB7" s="111">
        <v>852</v>
      </c>
      <c r="AC7" s="111">
        <v>1.2</v>
      </c>
      <c r="AD7" s="111">
        <v>525</v>
      </c>
      <c r="AE7" s="111">
        <f>(1/3-0.21*(MIN(Table1123456[[#This Row],[b (mm)]],Y7)/MAX(Table1123456[[#This Row],[b (mm)]],Y7))*(MIN(Table1123456[[#This Row],[b (mm)]],Y7)^4/(12*MAX(Table1123456[[#This Row],[b (mm)]],Y7)^4)))*MAX(Table1123456[[#This Row],[b (mm)]],Y7)*MIN(Table1123456[[#This Row],[b (mm)]],Y7)^3</f>
        <v>2733111322.395833</v>
      </c>
      <c r="AF7" s="111">
        <f>Table1123456[[#This Row],[b (mm)]]*Y7^3/12</f>
        <v>721137552.08333337</v>
      </c>
      <c r="AG7" s="111">
        <v>1397</v>
      </c>
      <c r="AH7" s="138"/>
      <c r="AI7" s="107"/>
    </row>
    <row r="8" spans="1:37" x14ac:dyDescent="0.25">
      <c r="A8" s="152" t="s">
        <v>94</v>
      </c>
      <c r="B8" s="143">
        <v>7</v>
      </c>
      <c r="C8" s="111">
        <v>7</v>
      </c>
      <c r="D8" s="111">
        <f>Table1123456[[#This Row],[a (mm)]]/Table1123456[[#This Row],[d (mm)]]</f>
        <v>3.01</v>
      </c>
      <c r="E8" s="111">
        <v>106.75200000000001</v>
      </c>
      <c r="F8" s="137">
        <f>Table1123456[[#This Row],[d (mm)]]</f>
        <v>232</v>
      </c>
      <c r="G8" s="111">
        <f t="shared" si="3"/>
        <v>74547.056639999995</v>
      </c>
      <c r="H8" s="111">
        <f t="shared" si="0"/>
        <v>3.9250907966561363E-6</v>
      </c>
      <c r="I8" s="111">
        <f>G8/(Table1123456[[#This Row],[b (mm)]]*X8^2)</f>
        <v>4.5410333521763704E-3</v>
      </c>
      <c r="J8" s="111">
        <f t="shared" si="1"/>
        <v>0.71836244131455396</v>
      </c>
      <c r="K8" s="111">
        <f t="shared" si="2"/>
        <v>1.2439102626634818E-6</v>
      </c>
      <c r="L8" s="111">
        <f>E8/(Table1123456[[#This Row],[b (mm)]]*X8)</f>
        <v>1.5086489542114191E-3</v>
      </c>
      <c r="M8" s="111">
        <f>Table1123456[[#This Row],[M (KN.mm)]]/(Table1123456[[#This Row],[b (mm)]]*Table1123456[[#This Row],[d (mm)]])</f>
        <v>1.0535197377049179</v>
      </c>
      <c r="N8" s="111">
        <f>Table1123456[[#This Row],[M (KN.mm)]]/(Table1123456[[#This Row],[b (mm)]]*Table1123456[[#This Row],[h (mm)]])</f>
        <v>0.80136583327062616</v>
      </c>
      <c r="O8" s="111">
        <f>Table1123456[[#This Row],[M (KN.mm)]]/(Table1123456[[#This Row],[b (mm)]]*Table1123456[[#This Row],[h (mm)]]*Table1123456[[#This Row],[L(mm)]])</f>
        <v>5.7363338100975385E-4</v>
      </c>
      <c r="P8" s="111">
        <f>Table1123456[[#This Row],[M (KN.mm)]]/(Table1123456[[#This Row],[b (mm)]]*Table1123456[[#This Row],[d (mm)]]*Table1123456[[#This Row],[L(mm)]])</f>
        <v>7.5413009141368499E-4</v>
      </c>
      <c r="Q8" s="111">
        <f>Table1123456[[#This Row],[M (KN.mm)]]/(Table1123456[[#This Row],[b (mm)]]*Table1123456[[#This Row],[h (mm)]]*Table1123456[[#This Row],[L(mm)]]*Table1123456[[#This Row],[fc (Mpa)]])</f>
        <v>8.6782659759418129E-6</v>
      </c>
      <c r="R8" s="111">
        <f>Table1123456[[#This Row],[M (KN.mm)]]/(Table1123456[[#This Row],[b (mm)]]*Table1123456[[#This Row],[h (mm)]]*Table1123456[[#This Row],[L(mm)]]/2)</f>
        <v>1.1472667620195077E-3</v>
      </c>
      <c r="S8" s="111">
        <f>Table1123456[[#This Row],[M (KN.mm)]]/(Table1123456[[#This Row],[a (mm)]]*Table1123456[[#This Row],[b (mm)]]*Table1123456[[#This Row],[h (mm)]]*Table1123456[[#This Row],[L(mm)]]/2)</f>
        <v>1.642895466289821E-6</v>
      </c>
      <c r="T8" s="111">
        <f>G8/($AJ$5*AF8*0.001*Table1123456[[#This Row],[pho (%)]])</f>
        <v>3.270908997213447E-6</v>
      </c>
      <c r="U8" s="111">
        <f>Table1123456[[#This Row],[M (KN.mm)]]/(Table1123456[[#This Row],[b (mm)]]*Table1123456[[#This Row],[d (mm)]]*Table1123456[[#This Row],[pho (%)]])</f>
        <v>0.8779331147540983</v>
      </c>
      <c r="V8" s="111">
        <f>E8/(Table1123456[[#This Row],[b (mm)]]*Y8*Table1123456[[#This Row],[fc (Mpa)]]*Table1123456[[#This Row],[a (mm)]])</f>
        <v>2.4861103501731155E-8</v>
      </c>
      <c r="W8" s="111">
        <f>3.01*Table1123456[[#This Row],[d (mm)]]</f>
        <v>698.31999999999994</v>
      </c>
      <c r="X8" s="111">
        <v>232</v>
      </c>
      <c r="Y8" s="111">
        <v>305</v>
      </c>
      <c r="Z8" s="111">
        <v>305</v>
      </c>
      <c r="AA8" s="7">
        <v>66.099999999999994</v>
      </c>
      <c r="AB8" s="111">
        <v>852</v>
      </c>
      <c r="AC8" s="111">
        <v>1.2</v>
      </c>
      <c r="AD8" s="111">
        <v>525</v>
      </c>
      <c r="AE8" s="111">
        <f>(1/3-0.21*(MIN(Table1123456[[#This Row],[b (mm)]],Y8)/MAX(Table1123456[[#This Row],[b (mm)]],Y8))*(MIN(Table1123456[[#This Row],[b (mm)]],Y8)^4/(12*MAX(Table1123456[[#This Row],[b (mm)]],Y8)^4)))*MAX(Table1123456[[#This Row],[b (mm)]],Y8)*MIN(Table1123456[[#This Row],[b (mm)]],Y8)^3</f>
        <v>2733111322.395833</v>
      </c>
      <c r="AF8" s="111">
        <f>Table1123456[[#This Row],[b (mm)]]*Y8^3/12</f>
        <v>721137552.08333337</v>
      </c>
      <c r="AG8" s="111">
        <v>1397</v>
      </c>
      <c r="AH8" s="138"/>
      <c r="AI8" s="107"/>
    </row>
    <row r="9" spans="1:37" x14ac:dyDescent="0.25">
      <c r="A9" s="152" t="s">
        <v>94</v>
      </c>
      <c r="B9" s="143">
        <v>8</v>
      </c>
      <c r="C9" s="111">
        <v>8</v>
      </c>
      <c r="D9" s="111">
        <f>Table1123456[[#This Row],[a (mm)]]/Table1123456[[#This Row],[d (mm)]]</f>
        <v>3.01</v>
      </c>
      <c r="E9" s="160">
        <v>115.64800000000001</v>
      </c>
      <c r="F9" s="137">
        <f>Table1123456[[#This Row],[d (mm)]]</f>
        <v>232</v>
      </c>
      <c r="G9" s="111">
        <f t="shared" si="3"/>
        <v>80759.311360000007</v>
      </c>
      <c r="H9" s="111">
        <f t="shared" si="0"/>
        <v>4.2521816963774813E-6</v>
      </c>
      <c r="I9" s="111">
        <f>G9/(Table1123456[[#This Row],[b (mm)]]*X9^2)</f>
        <v>4.9194527981910692E-3</v>
      </c>
      <c r="J9" s="111">
        <f t="shared" si="1"/>
        <v>0.77822597809076688</v>
      </c>
      <c r="K9" s="111">
        <f t="shared" si="2"/>
        <v>1.3475694512187719E-6</v>
      </c>
      <c r="L9" s="111">
        <f>E9/(Table1123456[[#This Row],[b (mm)]]*X9)</f>
        <v>1.634369700395704E-3</v>
      </c>
      <c r="M9" s="111">
        <f>Table1123456[[#This Row],[M (KN.mm)]]/(Table1123456[[#This Row],[b (mm)]]*Table1123456[[#This Row],[d (mm)]])</f>
        <v>1.1413130491803281</v>
      </c>
      <c r="N9" s="111">
        <f>Table1123456[[#This Row],[M (KN.mm)]]/(Table1123456[[#This Row],[b (mm)]]*Table1123456[[#This Row],[h (mm)]])</f>
        <v>0.86814631937651177</v>
      </c>
      <c r="O9" s="111">
        <f>Table1123456[[#This Row],[M (KN.mm)]]/(Table1123456[[#This Row],[b (mm)]]*Table1123456[[#This Row],[h (mm)]]*Table1123456[[#This Row],[L(mm)]])</f>
        <v>6.2099164476145331E-4</v>
      </c>
      <c r="P9" s="111">
        <f>Table1123456[[#This Row],[M (KN.mm)]]/(Table1123456[[#This Row],[b (mm)]]*Table1123456[[#This Row],[d (mm)]]*Table1123456[[#This Row],[L(mm)]])</f>
        <v>8.1638987781139339E-4</v>
      </c>
      <c r="Q9" s="111">
        <f>Table1123456[[#This Row],[M (KN.mm)]]/(Table1123456[[#This Row],[b (mm)]]*Table1123456[[#This Row],[h (mm)]]*Table1123456[[#This Row],[L(mm)]]*Table1123456[[#This Row],[fc (Mpa)]])</f>
        <v>9.3947298753623803E-6</v>
      </c>
      <c r="R9" s="111">
        <f>Table1123456[[#This Row],[M (KN.mm)]]/(Table1123456[[#This Row],[b (mm)]]*Table1123456[[#This Row],[h (mm)]]*Table1123456[[#This Row],[L(mm)]]/2)</f>
        <v>1.2419832895229066E-3</v>
      </c>
      <c r="S9" s="111">
        <f>Table1123456[[#This Row],[M (KN.mm)]]/(Table1123456[[#This Row],[a (mm)]]*Table1123456[[#This Row],[b (mm)]]*Table1123456[[#This Row],[h (mm)]]*Table1123456[[#This Row],[L(mm)]]/2)</f>
        <v>1.7785303149314168E-6</v>
      </c>
      <c r="T9" s="111">
        <f>G9/($AJ$5*AF9*0.001*Table1123456[[#This Row],[pho (%)]])</f>
        <v>3.5434847469812347E-6</v>
      </c>
      <c r="U9" s="111">
        <f>Table1123456[[#This Row],[M (KN.mm)]]/(Table1123456[[#This Row],[b (mm)]]*Table1123456[[#This Row],[d (mm)]]*Table1123456[[#This Row],[pho (%)]])</f>
        <v>0.9510942076502733</v>
      </c>
      <c r="V9" s="111">
        <f>E9/(Table1123456[[#This Row],[b (mm)]]*Y9*Table1123456[[#This Row],[fc (Mpa)]]*Table1123456[[#This Row],[a (mm)]])</f>
        <v>2.693286212687542E-8</v>
      </c>
      <c r="W9" s="111">
        <f>3.01*Table1123456[[#This Row],[d (mm)]]</f>
        <v>698.31999999999994</v>
      </c>
      <c r="X9" s="111">
        <v>232</v>
      </c>
      <c r="Y9" s="111">
        <v>305</v>
      </c>
      <c r="Z9" s="111">
        <v>305</v>
      </c>
      <c r="AA9" s="7">
        <v>66.099999999999994</v>
      </c>
      <c r="AB9" s="111">
        <v>852</v>
      </c>
      <c r="AC9" s="111">
        <v>1.2</v>
      </c>
      <c r="AD9" s="111">
        <v>525</v>
      </c>
      <c r="AE9" s="111">
        <f>(1/3-0.21*(MIN(Table1123456[[#This Row],[b (mm)]],Y9)/MAX(Table1123456[[#This Row],[b (mm)]],Y9))*(MIN(Table1123456[[#This Row],[b (mm)]],Y9)^4/(12*MAX(Table1123456[[#This Row],[b (mm)]],Y9)^4)))*MAX(Table1123456[[#This Row],[b (mm)]],Y9)*MIN(Table1123456[[#This Row],[b (mm)]],Y9)^3</f>
        <v>2733111322.395833</v>
      </c>
      <c r="AF9" s="111">
        <f>Table1123456[[#This Row],[b (mm)]]*Y9^3/12</f>
        <v>721137552.08333337</v>
      </c>
      <c r="AG9" s="111">
        <v>1398</v>
      </c>
      <c r="AH9" s="138"/>
      <c r="AI9" s="107"/>
    </row>
    <row r="10" spans="1:37" ht="14.25" customHeight="1" x14ac:dyDescent="0.25">
      <c r="A10" s="152" t="s">
        <v>94</v>
      </c>
      <c r="B10" s="143">
        <v>9</v>
      </c>
      <c r="C10" s="111">
        <v>9</v>
      </c>
      <c r="D10" s="111">
        <f>Table1123456[[#This Row],[a (mm)]]/Table1123456[[#This Row],[d (mm)]]</f>
        <v>3.01</v>
      </c>
      <c r="E10" s="160">
        <v>124.54400000000001</v>
      </c>
      <c r="F10" s="137">
        <f>Table1123456[[#This Row],[d (mm)]]</f>
        <v>232</v>
      </c>
      <c r="G10" s="111">
        <f t="shared" si="3"/>
        <v>86971.566080000004</v>
      </c>
      <c r="H10" s="111">
        <f t="shared" si="0"/>
        <v>4.5792725960988263E-6</v>
      </c>
      <c r="I10" s="111">
        <f>G10/(Table1123456[[#This Row],[b (mm)]]*X10^2)</f>
        <v>5.2978722442057662E-3</v>
      </c>
      <c r="J10" s="111">
        <f t="shared" si="1"/>
        <v>0.83808951486697969</v>
      </c>
      <c r="K10" s="111">
        <f t="shared" si="2"/>
        <v>1.4512286397740621E-6</v>
      </c>
      <c r="L10" s="111">
        <f>E10/(Table1123456[[#This Row],[b (mm)]]*X10)</f>
        <v>1.7600904465799889E-3</v>
      </c>
      <c r="M10" s="111">
        <f>Table1123456[[#This Row],[M (KN.mm)]]/(Table1123456[[#This Row],[b (mm)]]*Table1123456[[#This Row],[d (mm)]])</f>
        <v>1.2291063606557378</v>
      </c>
      <c r="N10" s="111">
        <f>Table1123456[[#This Row],[M (KN.mm)]]/(Table1123456[[#This Row],[b (mm)]]*Table1123456[[#This Row],[h (mm)]])</f>
        <v>0.93492680548239726</v>
      </c>
      <c r="O10" s="111">
        <f>Table1123456[[#This Row],[M (KN.mm)]]/(Table1123456[[#This Row],[b (mm)]]*Table1123456[[#This Row],[h (mm)]]*Table1123456[[#This Row],[L(mm)]])</f>
        <v>6.6828220549134895E-4</v>
      </c>
      <c r="P10" s="111">
        <f>Table1123456[[#This Row],[M (KN.mm)]]/(Table1123456[[#This Row],[b (mm)]]*Table1123456[[#This Row],[d (mm)]]*Table1123456[[#This Row],[L(mm)]])</f>
        <v>8.7856065808129932E-4</v>
      </c>
      <c r="Q10" s="111">
        <f>Table1123456[[#This Row],[M (KN.mm)]]/(Table1123456[[#This Row],[b (mm)]]*Table1123456[[#This Row],[h (mm)]]*Table1123456[[#This Row],[L(mm)]]*Table1123456[[#This Row],[fc (Mpa)]])</f>
        <v>1.0110169523318441E-5</v>
      </c>
      <c r="R10" s="111">
        <f>Table1123456[[#This Row],[M (KN.mm)]]/(Table1123456[[#This Row],[b (mm)]]*Table1123456[[#This Row],[h (mm)]]*Table1123456[[#This Row],[L(mm)]]/2)</f>
        <v>1.3365644109826979E-3</v>
      </c>
      <c r="S10" s="111">
        <f>Table1123456[[#This Row],[M (KN.mm)]]/(Table1123456[[#This Row],[a (mm)]]*Table1123456[[#This Row],[b (mm)]]*Table1123456[[#This Row],[h (mm)]]*Table1123456[[#This Row],[L(mm)]]/2)</f>
        <v>1.9139712610016873E-6</v>
      </c>
      <c r="T10" s="111">
        <f>G10/($AJ$5*AF10*0.001*Table1123456[[#This Row],[pho (%)]])</f>
        <v>3.8160604967490215E-6</v>
      </c>
      <c r="U10" s="111">
        <f>Table1123456[[#This Row],[M (KN.mm)]]/(Table1123456[[#This Row],[b (mm)]]*Table1123456[[#This Row],[d (mm)]]*Table1123456[[#This Row],[pho (%)]])</f>
        <v>1.0242553005464481</v>
      </c>
      <c r="V10" s="111">
        <f>E10/(Table1123456[[#This Row],[b (mm)]]*Y10*Table1123456[[#This Row],[fc (Mpa)]]*Table1123456[[#This Row],[a (mm)]])</f>
        <v>2.9004620752019682E-8</v>
      </c>
      <c r="W10" s="111">
        <f>3.01*Table1123456[[#This Row],[d (mm)]]</f>
        <v>698.31999999999994</v>
      </c>
      <c r="X10" s="111">
        <v>232</v>
      </c>
      <c r="Y10" s="111">
        <v>305</v>
      </c>
      <c r="Z10" s="111">
        <v>305</v>
      </c>
      <c r="AA10" s="7">
        <v>66.099999999999994</v>
      </c>
      <c r="AB10" s="111">
        <v>852</v>
      </c>
      <c r="AC10" s="111">
        <v>1.2</v>
      </c>
      <c r="AD10" s="111">
        <v>525</v>
      </c>
      <c r="AE10" s="111">
        <f>(1/3-0.21*(MIN(Table1123456[[#This Row],[b (mm)]],Y10)/MAX(Table1123456[[#This Row],[b (mm)]],Y10))*(MIN(Table1123456[[#This Row],[b (mm)]],Y10)^4/(12*MAX(Table1123456[[#This Row],[b (mm)]],Y10)^4)))*MAX(Table1123456[[#This Row],[b (mm)]],Y10)*MIN(Table1123456[[#This Row],[b (mm)]],Y10)^3</f>
        <v>2733111322.395833</v>
      </c>
      <c r="AF10" s="111">
        <f>Table1123456[[#This Row],[b (mm)]]*Y10^3/12</f>
        <v>721137552.08333337</v>
      </c>
      <c r="AG10" s="111">
        <v>1399</v>
      </c>
      <c r="AH10" s="138"/>
      <c r="AI10" s="107"/>
    </row>
    <row r="11" spans="1:37" x14ac:dyDescent="0.25">
      <c r="A11" s="153" t="s">
        <v>95</v>
      </c>
      <c r="B11" s="161">
        <v>1</v>
      </c>
      <c r="C11" s="111">
        <v>12</v>
      </c>
      <c r="D11" s="111">
        <f>Table1123456[[#This Row],[a (mm)]]/Table1123456[[#This Row],[d (mm)]]</f>
        <v>2.98</v>
      </c>
      <c r="E11" s="160">
        <v>90.739199999999997</v>
      </c>
      <c r="F11" s="137">
        <f>Table1123456[[#This Row],[d (mm)]]</f>
        <v>530</v>
      </c>
      <c r="G11" s="111">
        <f t="shared" si="3"/>
        <v>143313.49248000002</v>
      </c>
      <c r="H11" s="111">
        <f t="shared" si="0"/>
        <v>9.3553617764632545E-7</v>
      </c>
      <c r="I11" s="111">
        <f>G11/(Table1123456[[#This Row],[b (mm)]]*X11^2)</f>
        <v>1.6673006289308178E-3</v>
      </c>
      <c r="J11" s="111">
        <f t="shared" si="1"/>
        <v>0.25260077629089894</v>
      </c>
      <c r="K11" s="111">
        <f t="shared" si="2"/>
        <v>4.9602095247832276E-7</v>
      </c>
      <c r="L11" s="111">
        <f>E11/(Table1123456[[#This Row],[b (mm)]]*X11)</f>
        <v>5.5949685534591198E-4</v>
      </c>
      <c r="M11" s="111">
        <f>Table1123456[[#This Row],[M (KN.mm)]]/(Table1123456[[#This Row],[b (mm)]]*Table1123456[[#This Row],[d (mm)]])</f>
        <v>0.88366933333333342</v>
      </c>
      <c r="N11" s="111">
        <f>Table1123456[[#This Row],[M (KN.mm)]]/(Table1123456[[#This Row],[b (mm)]]*Table1123456[[#This Row],[h (mm)]])</f>
        <v>0.76652168030551016</v>
      </c>
      <c r="O11" s="111">
        <f>Table1123456[[#This Row],[M (KN.mm)]]/(Table1123456[[#This Row],[b (mm)]]*Table1123456[[#This Row],[h (mm)]]*Table1123456[[#This Row],[L(mm)]])</f>
        <v>2.4241672368928216E-4</v>
      </c>
      <c r="P11" s="111">
        <f>Table1123456[[#This Row],[M (KN.mm)]]/(Table1123456[[#This Row],[b (mm)]]*Table1123456[[#This Row],[d (mm)]]*Table1123456[[#This Row],[L(mm)]])</f>
        <v>2.7946531730971963E-4</v>
      </c>
      <c r="Q11" s="111">
        <f>Table1123456[[#This Row],[M (KN.mm)]]/(Table1123456[[#This Row],[b (mm)]]*Table1123456[[#This Row],[h (mm)]]*Table1123456[[#This Row],[L(mm)]]*Table1123456[[#This Row],[fc (Mpa)]])</f>
        <v>3.667423958990653E-6</v>
      </c>
      <c r="R11" s="111">
        <f>Table1123456[[#This Row],[M (KN.mm)]]/(Table1123456[[#This Row],[b (mm)]]*Table1123456[[#This Row],[h (mm)]]*Table1123456[[#This Row],[L(mm)]]/2)</f>
        <v>4.8483344737856431E-4</v>
      </c>
      <c r="S11" s="111">
        <f>Table1123456[[#This Row],[M (KN.mm)]]/(Table1123456[[#This Row],[a (mm)]]*Table1123456[[#This Row],[b (mm)]]*Table1123456[[#This Row],[h (mm)]]*Table1123456[[#This Row],[L(mm)]]/2)</f>
        <v>3.0697318436024074E-7</v>
      </c>
      <c r="T11" s="111">
        <f>G11/($AJ$5*AF11*0.001*Table1123456[[#This Row],[pho (%)]])</f>
        <v>7.4842894211706034E-7</v>
      </c>
      <c r="U11" s="111">
        <f>Table1123456[[#This Row],[M (KN.mm)]]/(Table1123456[[#This Row],[b (mm)]]*Table1123456[[#This Row],[d (mm)]]*Table1123456[[#This Row],[pho (%)]])</f>
        <v>0.70693546666666673</v>
      </c>
      <c r="V11" s="111">
        <f>E11/(Table1123456[[#This Row],[b (mm)]]*Y11*Table1123456[[#This Row],[fc (Mpa)]]*Table1123456[[#This Row],[a (mm)]])</f>
        <v>4.6487770253199481E-9</v>
      </c>
      <c r="W11" s="111">
        <f>2.98*Table1123456[[#This Row],[d (mm)]]</f>
        <v>1579.4</v>
      </c>
      <c r="X11" s="160">
        <v>530</v>
      </c>
      <c r="Y11" s="160">
        <v>611</v>
      </c>
      <c r="Z11" s="160">
        <v>306</v>
      </c>
      <c r="AA11" s="160">
        <v>66.099999999999994</v>
      </c>
      <c r="AB11" s="160">
        <v>2039</v>
      </c>
      <c r="AC11" s="160">
        <v>1.25</v>
      </c>
      <c r="AD11" s="160">
        <v>525</v>
      </c>
      <c r="AE11" s="111">
        <f>(1/3-0.21*(MIN(Table1123456[[#This Row],[b (mm)]],Y11)/MAX(Table1123456[[#This Row],[b (mm)]],Y11))*(MIN(Table1123456[[#This Row],[b (mm)]],Y11)^4/(12*MAX(Table1123456[[#This Row],[b (mm)]],Y11)^4)))*MAX(Table1123456[[#This Row],[b (mm)]],Y11)*MIN(Table1123456[[#This Row],[b (mm)]],Y11)^3</f>
        <v>5825930185.1099443</v>
      </c>
      <c r="AF11" s="111">
        <f>Table1123456[[#This Row],[b (mm)]]*Y11^3/12</f>
        <v>5816527840.5</v>
      </c>
      <c r="AG11" s="160">
        <v>3162</v>
      </c>
      <c r="AH11" s="138"/>
      <c r="AI11" s="107"/>
    </row>
    <row r="12" spans="1:37" x14ac:dyDescent="0.25">
      <c r="A12" s="153" t="s">
        <v>95</v>
      </c>
      <c r="B12" s="161">
        <v>2</v>
      </c>
      <c r="C12" s="111">
        <v>13</v>
      </c>
      <c r="D12" s="111">
        <f>Table1123456[[#This Row],[a (mm)]]/Table1123456[[#This Row],[d (mm)]]</f>
        <v>2.98</v>
      </c>
      <c r="E12" s="160">
        <v>111.20000000000002</v>
      </c>
      <c r="F12" s="137">
        <f>Table1123456[[#This Row],[d (mm)]]</f>
        <v>530</v>
      </c>
      <c r="G12" s="111">
        <f t="shared" si="3"/>
        <v>175629.28000000003</v>
      </c>
      <c r="H12" s="111">
        <f t="shared" si="0"/>
        <v>1.1464904137822616E-6</v>
      </c>
      <c r="I12" s="111">
        <f>G12/(Table1123456[[#This Row],[b (mm)]]*X12^2)</f>
        <v>2.04326057467012E-3</v>
      </c>
      <c r="J12" s="111">
        <f t="shared" si="1"/>
        <v>0.30955977486629771</v>
      </c>
      <c r="K12" s="111">
        <f t="shared" si="2"/>
        <v>6.078688143116701E-7</v>
      </c>
      <c r="L12" s="111">
        <f>E12/(Table1123456[[#This Row],[b (mm)]]*X12)</f>
        <v>6.8565791096312752E-4</v>
      </c>
      <c r="M12" s="111">
        <f>Table1123456[[#This Row],[M (KN.mm)]]/(Table1123456[[#This Row],[b (mm)]]*Table1123456[[#This Row],[d (mm)]])</f>
        <v>1.0829281045751635</v>
      </c>
      <c r="N12" s="111">
        <f>Table1123456[[#This Row],[M (KN.mm)]]/(Table1123456[[#This Row],[b (mm)]]*Table1123456[[#This Row],[h (mm)]])</f>
        <v>0.93936480429596836</v>
      </c>
      <c r="O12" s="111">
        <f>Table1123456[[#This Row],[M (KN.mm)]]/(Table1123456[[#This Row],[b (mm)]]*Table1123456[[#This Row],[h (mm)]]*Table1123456[[#This Row],[L(mm)]])</f>
        <v>2.9707931824666931E-4</v>
      </c>
      <c r="P12" s="111">
        <f>Table1123456[[#This Row],[M (KN.mm)]]/(Table1123456[[#This Row],[b (mm)]]*Table1123456[[#This Row],[d (mm)]]*Table1123456[[#This Row],[L(mm)]])</f>
        <v>3.4248200650700936E-4</v>
      </c>
      <c r="Q12" s="111">
        <f>Table1123456[[#This Row],[M (KN.mm)]]/(Table1123456[[#This Row],[b (mm)]]*Table1123456[[#This Row],[h (mm)]]*Table1123456[[#This Row],[L(mm)]]*Table1123456[[#This Row],[fc (Mpa)]])</f>
        <v>4.4943921066061932E-6</v>
      </c>
      <c r="R12" s="111">
        <f>Table1123456[[#This Row],[M (KN.mm)]]/(Table1123456[[#This Row],[b (mm)]]*Table1123456[[#This Row],[h (mm)]]*Table1123456[[#This Row],[L(mm)]]/2)</f>
        <v>5.9415863649333862E-4</v>
      </c>
      <c r="S12" s="111">
        <f>Table1123456[[#This Row],[M (KN.mm)]]/(Table1123456[[#This Row],[a (mm)]]*Table1123456[[#This Row],[b (mm)]]*Table1123456[[#This Row],[h (mm)]]*Table1123456[[#This Row],[L(mm)]]/2)</f>
        <v>3.761926278924519E-7</v>
      </c>
      <c r="T12" s="111">
        <f>G12/($AJ$5*AF12*0.001*Table1123456[[#This Row],[pho (%)]])</f>
        <v>9.1719233102580931E-7</v>
      </c>
      <c r="U12" s="111">
        <f>Table1123456[[#This Row],[M (KN.mm)]]/(Table1123456[[#This Row],[b (mm)]]*Table1123456[[#This Row],[d (mm)]]*Table1123456[[#This Row],[pho (%)]])</f>
        <v>0.86634248366013089</v>
      </c>
      <c r="V12" s="111">
        <f>E12/(Table1123456[[#This Row],[b (mm)]]*Y12*Table1123456[[#This Row],[fc (Mpa)]]*Table1123456[[#This Row],[a (mm)]])</f>
        <v>5.6970306682842512E-9</v>
      </c>
      <c r="W12" s="111">
        <f>2.98*Table1123456[[#This Row],[d (mm)]]</f>
        <v>1579.4</v>
      </c>
      <c r="X12" s="160">
        <v>530</v>
      </c>
      <c r="Y12" s="160">
        <v>611</v>
      </c>
      <c r="Z12" s="160">
        <v>306</v>
      </c>
      <c r="AA12" s="160">
        <v>66.099999999999994</v>
      </c>
      <c r="AB12" s="160">
        <v>2039</v>
      </c>
      <c r="AC12" s="160">
        <v>1.25</v>
      </c>
      <c r="AD12" s="160">
        <v>525</v>
      </c>
      <c r="AE12" s="111">
        <f>(1/3-0.21*(MIN(Table1123456[[#This Row],[b (mm)]],Y12)/MAX(Table1123456[[#This Row],[b (mm)]],Y12))*(MIN(Table1123456[[#This Row],[b (mm)]],Y12)^4/(12*MAX(Table1123456[[#This Row],[b (mm)]],Y12)^4)))*MAX(Table1123456[[#This Row],[b (mm)]],Y12)*MIN(Table1123456[[#This Row],[b (mm)]],Y12)^3</f>
        <v>5825930185.1099443</v>
      </c>
      <c r="AF12" s="111">
        <f>Table1123456[[#This Row],[b (mm)]]*Y12^3/12</f>
        <v>5816527840.5</v>
      </c>
      <c r="AG12" s="160">
        <v>3162</v>
      </c>
      <c r="AH12" s="138"/>
      <c r="AI12" s="107"/>
    </row>
    <row r="13" spans="1:37" x14ac:dyDescent="0.25">
      <c r="A13" s="153" t="s">
        <v>95</v>
      </c>
      <c r="B13" s="161">
        <v>3</v>
      </c>
      <c r="C13" s="111">
        <v>14</v>
      </c>
      <c r="D13" s="111">
        <f>Table1123456[[#This Row],[a (mm)]]/Table1123456[[#This Row],[d (mm)]]</f>
        <v>2.98</v>
      </c>
      <c r="E13" s="160">
        <v>133.44</v>
      </c>
      <c r="F13" s="137">
        <f>Table1123456[[#This Row],[d (mm)]]</f>
        <v>530</v>
      </c>
      <c r="G13" s="111">
        <f t="shared" si="3"/>
        <v>210755.136</v>
      </c>
      <c r="H13" s="111">
        <f t="shared" si="0"/>
        <v>1.3757884965387138E-6</v>
      </c>
      <c r="I13" s="111">
        <f>G13/(Table1123456[[#This Row],[b (mm)]]*X13^2)</f>
        <v>2.4519126896041434E-3</v>
      </c>
      <c r="J13" s="111">
        <f t="shared" si="1"/>
        <v>0.37147172983955723</v>
      </c>
      <c r="K13" s="111">
        <f t="shared" si="2"/>
        <v>7.29442577174004E-7</v>
      </c>
      <c r="L13" s="111">
        <f>E13/(Table1123456[[#This Row],[b (mm)]]*X13)</f>
        <v>8.2278949315575287E-4</v>
      </c>
      <c r="M13" s="111">
        <f>Table1123456[[#This Row],[M (KN.mm)]]/(Table1123456[[#This Row],[b (mm)]]*Table1123456[[#This Row],[d (mm)]])</f>
        <v>1.2995137254901961</v>
      </c>
      <c r="N13" s="111">
        <f>Table1123456[[#This Row],[M (KN.mm)]]/(Table1123456[[#This Row],[b (mm)]]*Table1123456[[#This Row],[h (mm)]])</f>
        <v>1.1272377651551619</v>
      </c>
      <c r="O13" s="111">
        <f>Table1123456[[#This Row],[M (KN.mm)]]/(Table1123456[[#This Row],[b (mm)]]*Table1123456[[#This Row],[h (mm)]]*Table1123456[[#This Row],[L(mm)]])</f>
        <v>3.5649518189600311E-4</v>
      </c>
      <c r="P13" s="111">
        <f>Table1123456[[#This Row],[M (KN.mm)]]/(Table1123456[[#This Row],[b (mm)]]*Table1123456[[#This Row],[d (mm)]]*Table1123456[[#This Row],[L(mm)]])</f>
        <v>4.1097840780841117E-4</v>
      </c>
      <c r="Q13" s="111">
        <f>Table1123456[[#This Row],[M (KN.mm)]]/(Table1123456[[#This Row],[b (mm)]]*Table1123456[[#This Row],[h (mm)]]*Table1123456[[#This Row],[L(mm)]]*Table1123456[[#This Row],[fc (Mpa)]])</f>
        <v>5.3932705279274308E-6</v>
      </c>
      <c r="R13" s="111">
        <f>Table1123456[[#This Row],[M (KN.mm)]]/(Table1123456[[#This Row],[b (mm)]]*Table1123456[[#This Row],[h (mm)]]*Table1123456[[#This Row],[L(mm)]]/2)</f>
        <v>7.1299036379200622E-4</v>
      </c>
      <c r="S13" s="111">
        <f>Table1123456[[#This Row],[M (KN.mm)]]/(Table1123456[[#This Row],[a (mm)]]*Table1123456[[#This Row],[b (mm)]]*Table1123456[[#This Row],[h (mm)]]*Table1123456[[#This Row],[L(mm)]]/2)</f>
        <v>4.5143115347094223E-7</v>
      </c>
      <c r="T13" s="111">
        <f>G13/($AJ$5*AF13*0.001*Table1123456[[#This Row],[pho (%)]])</f>
        <v>1.100630797230971E-6</v>
      </c>
      <c r="U13" s="111">
        <f>Table1123456[[#This Row],[M (KN.mm)]]/(Table1123456[[#This Row],[b (mm)]]*Table1123456[[#This Row],[d (mm)]]*Table1123456[[#This Row],[pho (%)]])</f>
        <v>1.0396109803921569</v>
      </c>
      <c r="V13" s="111">
        <f>E13/(Table1123456[[#This Row],[b (mm)]]*Y13*Table1123456[[#This Row],[fc (Mpa)]]*Table1123456[[#This Row],[a (mm)]])</f>
        <v>6.8364368019411003E-9</v>
      </c>
      <c r="W13" s="111">
        <f>2.98*Table1123456[[#This Row],[d (mm)]]</f>
        <v>1579.4</v>
      </c>
      <c r="X13" s="160">
        <v>530</v>
      </c>
      <c r="Y13" s="160">
        <v>611</v>
      </c>
      <c r="Z13" s="160">
        <v>306</v>
      </c>
      <c r="AA13" s="160">
        <v>66.099999999999994</v>
      </c>
      <c r="AB13" s="160">
        <v>2039</v>
      </c>
      <c r="AC13" s="160">
        <v>1.25</v>
      </c>
      <c r="AD13" s="160">
        <v>525</v>
      </c>
      <c r="AE13" s="111">
        <f>(1/3-0.21*(MIN(Table1123456[[#This Row],[b (mm)]],Y13)/MAX(Table1123456[[#This Row],[b (mm)]],Y13))*(MIN(Table1123456[[#This Row],[b (mm)]],Y13)^4/(12*MAX(Table1123456[[#This Row],[b (mm)]],Y13)^4)))*MAX(Table1123456[[#This Row],[b (mm)]],Y13)*MIN(Table1123456[[#This Row],[b (mm)]],Y13)^3</f>
        <v>5825930185.1099443</v>
      </c>
      <c r="AF13" s="111">
        <f>Table1123456[[#This Row],[b (mm)]]*Y13^3/12</f>
        <v>5816527840.5</v>
      </c>
      <c r="AG13" s="160">
        <v>3162</v>
      </c>
      <c r="AH13" s="138"/>
      <c r="AI13" s="107"/>
    </row>
    <row r="14" spans="1:37" x14ac:dyDescent="0.25">
      <c r="A14" s="153" t="s">
        <v>95</v>
      </c>
      <c r="B14" s="161">
        <v>4</v>
      </c>
      <c r="C14" s="111">
        <v>15</v>
      </c>
      <c r="D14" s="111">
        <f>Table1123456[[#This Row],[a (mm)]]/Table1123456[[#This Row],[d (mm)]]</f>
        <v>2.98</v>
      </c>
      <c r="E14" s="160">
        <v>155.68</v>
      </c>
      <c r="F14" s="137">
        <f>Table1123456[[#This Row],[d (mm)]]</f>
        <v>530</v>
      </c>
      <c r="G14" s="111">
        <f t="shared" si="3"/>
        <v>245880.99200000003</v>
      </c>
      <c r="H14" s="111">
        <f t="shared" si="0"/>
        <v>1.6050865792951662E-6</v>
      </c>
      <c r="I14" s="111">
        <f>G14/(Table1123456[[#This Row],[b (mm)]]*X14^2)</f>
        <v>2.8605648045381678E-3</v>
      </c>
      <c r="J14" s="111">
        <f t="shared" si="1"/>
        <v>0.43338368481281681</v>
      </c>
      <c r="K14" s="111">
        <f t="shared" si="2"/>
        <v>8.510163400363381E-7</v>
      </c>
      <c r="L14" s="111">
        <f>E14/(Table1123456[[#This Row],[b (mm)]]*X14)</f>
        <v>9.5992107534837833E-4</v>
      </c>
      <c r="M14" s="111">
        <f>Table1123456[[#This Row],[M (KN.mm)]]/(Table1123456[[#This Row],[b (mm)]]*Table1123456[[#This Row],[d (mm)]])</f>
        <v>1.516099346405229</v>
      </c>
      <c r="N14" s="111">
        <f>Table1123456[[#This Row],[M (KN.mm)]]/(Table1123456[[#This Row],[b (mm)]]*Table1123456[[#This Row],[h (mm)]])</f>
        <v>1.3151107260143557</v>
      </c>
      <c r="O14" s="111">
        <f>Table1123456[[#This Row],[M (KN.mm)]]/(Table1123456[[#This Row],[b (mm)]]*Table1123456[[#This Row],[h (mm)]]*Table1123456[[#This Row],[L(mm)]])</f>
        <v>4.1591104554533702E-4</v>
      </c>
      <c r="P14" s="111">
        <f>Table1123456[[#This Row],[M (KN.mm)]]/(Table1123456[[#This Row],[b (mm)]]*Table1123456[[#This Row],[d (mm)]]*Table1123456[[#This Row],[L(mm)]])</f>
        <v>4.7947480910981308E-4</v>
      </c>
      <c r="Q14" s="111">
        <f>Table1123456[[#This Row],[M (KN.mm)]]/(Table1123456[[#This Row],[b (mm)]]*Table1123456[[#This Row],[h (mm)]]*Table1123456[[#This Row],[L(mm)]]*Table1123456[[#This Row],[fc (Mpa)]])</f>
        <v>6.2921489492486693E-6</v>
      </c>
      <c r="R14" s="111">
        <f>Table1123456[[#This Row],[M (KN.mm)]]/(Table1123456[[#This Row],[b (mm)]]*Table1123456[[#This Row],[h (mm)]]*Table1123456[[#This Row],[L(mm)]]/2)</f>
        <v>8.3182209109067403E-4</v>
      </c>
      <c r="S14" s="111">
        <f>Table1123456[[#This Row],[M (KN.mm)]]/(Table1123456[[#This Row],[a (mm)]]*Table1123456[[#This Row],[b (mm)]]*Table1123456[[#This Row],[h (mm)]]*Table1123456[[#This Row],[L(mm)]]/2)</f>
        <v>5.2666967904943262E-7</v>
      </c>
      <c r="T14" s="111">
        <f>G14/($AJ$5*AF14*0.001*Table1123456[[#This Row],[pho (%)]])</f>
        <v>1.2840692634361329E-6</v>
      </c>
      <c r="U14" s="111">
        <f>Table1123456[[#This Row],[M (KN.mm)]]/(Table1123456[[#This Row],[b (mm)]]*Table1123456[[#This Row],[d (mm)]]*Table1123456[[#This Row],[pho (%)]])</f>
        <v>1.2128794771241831</v>
      </c>
      <c r="V14" s="111">
        <f>E14/(Table1123456[[#This Row],[b (mm)]]*Y14*Table1123456[[#This Row],[fc (Mpa)]]*Table1123456[[#This Row],[a (mm)]])</f>
        <v>7.9758429355979502E-9</v>
      </c>
      <c r="W14" s="111">
        <f>2.98*Table1123456[[#This Row],[d (mm)]]</f>
        <v>1579.4</v>
      </c>
      <c r="X14" s="160">
        <v>530</v>
      </c>
      <c r="Y14" s="160">
        <v>611</v>
      </c>
      <c r="Z14" s="160">
        <v>306</v>
      </c>
      <c r="AA14" s="160">
        <v>66.099999999999994</v>
      </c>
      <c r="AB14" s="160">
        <v>2039</v>
      </c>
      <c r="AC14" s="160">
        <v>1.25</v>
      </c>
      <c r="AD14" s="160">
        <v>525</v>
      </c>
      <c r="AE14" s="111">
        <f>(1/3-0.21*(MIN(Table1123456[[#This Row],[b (mm)]],Y14)/MAX(Table1123456[[#This Row],[b (mm)]],Y14))*(MIN(Table1123456[[#This Row],[b (mm)]],Y14)^4/(12*MAX(Table1123456[[#This Row],[b (mm)]],Y14)^4)))*MAX(Table1123456[[#This Row],[b (mm)]],Y14)*MIN(Table1123456[[#This Row],[b (mm)]],Y14)^3</f>
        <v>5825930185.1099443</v>
      </c>
      <c r="AF14" s="111">
        <f>Table1123456[[#This Row],[b (mm)]]*Y14^3/12</f>
        <v>5816527840.5</v>
      </c>
      <c r="AG14" s="160">
        <v>3162</v>
      </c>
      <c r="AH14" s="138"/>
      <c r="AI14" s="107"/>
    </row>
    <row r="15" spans="1:37" x14ac:dyDescent="0.25">
      <c r="A15" s="153" t="s">
        <v>95</v>
      </c>
      <c r="B15" s="161">
        <v>5</v>
      </c>
      <c r="C15" s="111">
        <v>16</v>
      </c>
      <c r="D15" s="111">
        <f>Table1123456[[#This Row],[a (mm)]]/Table1123456[[#This Row],[d (mm)]]</f>
        <v>2.98</v>
      </c>
      <c r="E15" s="160">
        <v>177.92000000000002</v>
      </c>
      <c r="F15" s="137">
        <f>Table1123456[[#This Row],[d (mm)]]</f>
        <v>530</v>
      </c>
      <c r="G15" s="111">
        <f t="shared" si="3"/>
        <v>281006.84800000006</v>
      </c>
      <c r="H15" s="111">
        <f t="shared" si="0"/>
        <v>1.8343846620516186E-6</v>
      </c>
      <c r="I15" s="111">
        <f>G15/(Table1123456[[#This Row],[b (mm)]]*X15^2)</f>
        <v>3.2692169194721921E-3</v>
      </c>
      <c r="J15" s="111">
        <f t="shared" si="1"/>
        <v>0.49529563978607638</v>
      </c>
      <c r="K15" s="111">
        <f t="shared" si="2"/>
        <v>9.7259010289867221E-7</v>
      </c>
      <c r="L15" s="111">
        <f>E15/(Table1123456[[#This Row],[b (mm)]]*X15)</f>
        <v>1.0970526575410039E-3</v>
      </c>
      <c r="M15" s="111">
        <f>Table1123456[[#This Row],[M (KN.mm)]]/(Table1123456[[#This Row],[b (mm)]]*Table1123456[[#This Row],[d (mm)]])</f>
        <v>1.7326849673202618</v>
      </c>
      <c r="N15" s="111">
        <f>Table1123456[[#This Row],[M (KN.mm)]]/(Table1123456[[#This Row],[b (mm)]]*Table1123456[[#This Row],[h (mm)]])</f>
        <v>1.5029836868735496</v>
      </c>
      <c r="O15" s="111">
        <f>Table1123456[[#This Row],[M (KN.mm)]]/(Table1123456[[#This Row],[b (mm)]]*Table1123456[[#This Row],[h (mm)]]*Table1123456[[#This Row],[L(mm)]])</f>
        <v>4.7532690919467092E-4</v>
      </c>
      <c r="P15" s="111">
        <f>Table1123456[[#This Row],[M (KN.mm)]]/(Table1123456[[#This Row],[b (mm)]]*Table1123456[[#This Row],[d (mm)]]*Table1123456[[#This Row],[L(mm)]])</f>
        <v>5.47971210411215E-4</v>
      </c>
      <c r="Q15" s="111">
        <f>Table1123456[[#This Row],[M (KN.mm)]]/(Table1123456[[#This Row],[b (mm)]]*Table1123456[[#This Row],[h (mm)]]*Table1123456[[#This Row],[L(mm)]]*Table1123456[[#This Row],[fc (Mpa)]])</f>
        <v>7.1910273705699086E-6</v>
      </c>
      <c r="R15" s="111">
        <f>Table1123456[[#This Row],[M (KN.mm)]]/(Table1123456[[#This Row],[b (mm)]]*Table1123456[[#This Row],[h (mm)]]*Table1123456[[#This Row],[L(mm)]]/2)</f>
        <v>9.5065381838934184E-4</v>
      </c>
      <c r="S15" s="111">
        <f>Table1123456[[#This Row],[M (KN.mm)]]/(Table1123456[[#This Row],[a (mm)]]*Table1123456[[#This Row],[b (mm)]]*Table1123456[[#This Row],[h (mm)]]*Table1123456[[#This Row],[L(mm)]]/2)</f>
        <v>6.0190820462792312E-7</v>
      </c>
      <c r="T15" s="111">
        <f>G15/($AJ$5*AF15*0.001*Table1123456[[#This Row],[pho (%)]])</f>
        <v>1.4675077296412949E-6</v>
      </c>
      <c r="U15" s="111">
        <f>Table1123456[[#This Row],[M (KN.mm)]]/(Table1123456[[#This Row],[b (mm)]]*Table1123456[[#This Row],[d (mm)]]*Table1123456[[#This Row],[pho (%)]])</f>
        <v>1.3861479738562095</v>
      </c>
      <c r="V15" s="111">
        <f>E15/(Table1123456[[#This Row],[b (mm)]]*Y15*Table1123456[[#This Row],[fc (Mpa)]]*Table1123456[[#This Row],[a (mm)]])</f>
        <v>9.115249069254801E-9</v>
      </c>
      <c r="W15" s="111">
        <f>2.98*Table1123456[[#This Row],[d (mm)]]</f>
        <v>1579.4</v>
      </c>
      <c r="X15" s="160">
        <v>530</v>
      </c>
      <c r="Y15" s="160">
        <v>611</v>
      </c>
      <c r="Z15" s="160">
        <v>306</v>
      </c>
      <c r="AA15" s="160">
        <v>66.099999999999994</v>
      </c>
      <c r="AB15" s="160">
        <v>2039</v>
      </c>
      <c r="AC15" s="160">
        <v>1.25</v>
      </c>
      <c r="AD15" s="160">
        <v>525</v>
      </c>
      <c r="AE15" s="111">
        <f>(1/3-0.21*(MIN(Table1123456[[#This Row],[b (mm)]],Y15)/MAX(Table1123456[[#This Row],[b (mm)]],Y15))*(MIN(Table1123456[[#This Row],[b (mm)]],Y15)^4/(12*MAX(Table1123456[[#This Row],[b (mm)]],Y15)^4)))*MAX(Table1123456[[#This Row],[b (mm)]],Y15)*MIN(Table1123456[[#This Row],[b (mm)]],Y15)^3</f>
        <v>5825930185.1099443</v>
      </c>
      <c r="AF15" s="111">
        <f>Table1123456[[#This Row],[b (mm)]]*Y15^3/12</f>
        <v>5816527840.5</v>
      </c>
      <c r="AG15" s="160">
        <v>3162</v>
      </c>
      <c r="AH15" s="138"/>
      <c r="AI15" s="107"/>
    </row>
    <row r="16" spans="1:37" s="129" customFormat="1" x14ac:dyDescent="0.25">
      <c r="A16" s="153" t="s">
        <v>95</v>
      </c>
      <c r="B16" s="161">
        <v>6</v>
      </c>
      <c r="C16" s="111">
        <v>17</v>
      </c>
      <c r="D16" s="111">
        <f>Table1123456[[#This Row],[a (mm)]]/Table1123456[[#This Row],[d (mm)]]</f>
        <v>2.98</v>
      </c>
      <c r="E16" s="160">
        <v>200.16000000000003</v>
      </c>
      <c r="F16" s="137">
        <f>Table1123456[[#This Row],[d (mm)]]</f>
        <v>530</v>
      </c>
      <c r="G16" s="111">
        <f t="shared" si="3"/>
        <v>316132.70400000009</v>
      </c>
      <c r="H16" s="111">
        <f t="shared" si="0"/>
        <v>2.063682744808071E-6</v>
      </c>
      <c r="I16" s="111">
        <f>G16/(Table1123456[[#This Row],[b (mm)]]*X16^2)</f>
        <v>3.6778690344062164E-3</v>
      </c>
      <c r="J16" s="111">
        <f t="shared" si="1"/>
        <v>0.55720759475933601</v>
      </c>
      <c r="K16" s="111">
        <f t="shared" si="2"/>
        <v>1.0941638657610063E-6</v>
      </c>
      <c r="L16" s="111">
        <f>E16/(Table1123456[[#This Row],[b (mm)]]*X16)</f>
        <v>1.2341842397336294E-3</v>
      </c>
      <c r="M16" s="111">
        <f>Table1123456[[#This Row],[M (KN.mm)]]/(Table1123456[[#This Row],[b (mm)]]*Table1123456[[#This Row],[d (mm)]])</f>
        <v>1.9492705882352945</v>
      </c>
      <c r="N16" s="111">
        <f>Table1123456[[#This Row],[M (KN.mm)]]/(Table1123456[[#This Row],[b (mm)]]*Table1123456[[#This Row],[h (mm)]])</f>
        <v>1.6908566477327434</v>
      </c>
      <c r="O16" s="111">
        <f>Table1123456[[#This Row],[M (KN.mm)]]/(Table1123456[[#This Row],[b (mm)]]*Table1123456[[#This Row],[h (mm)]]*Table1123456[[#This Row],[L(mm)]])</f>
        <v>5.3474277284400488E-4</v>
      </c>
      <c r="P16" s="111">
        <f>Table1123456[[#This Row],[M (KN.mm)]]/(Table1123456[[#This Row],[b (mm)]]*Table1123456[[#This Row],[d (mm)]]*Table1123456[[#This Row],[L(mm)]])</f>
        <v>6.1646761171261686E-4</v>
      </c>
      <c r="Q16" s="111">
        <f>Table1123456[[#This Row],[M (KN.mm)]]/(Table1123456[[#This Row],[b (mm)]]*Table1123456[[#This Row],[h (mm)]]*Table1123456[[#This Row],[L(mm)]]*Table1123456[[#This Row],[fc (Mpa)]])</f>
        <v>8.0899057918911487E-6</v>
      </c>
      <c r="R16" s="111">
        <f>Table1123456[[#This Row],[M (KN.mm)]]/(Table1123456[[#This Row],[b (mm)]]*Table1123456[[#This Row],[h (mm)]]*Table1123456[[#This Row],[L(mm)]]/2)</f>
        <v>1.0694855456880098E-3</v>
      </c>
      <c r="S16" s="111">
        <f>Table1123456[[#This Row],[M (KN.mm)]]/(Table1123456[[#This Row],[a (mm)]]*Table1123456[[#This Row],[b (mm)]]*Table1123456[[#This Row],[h (mm)]]*Table1123456[[#This Row],[L(mm)]]/2)</f>
        <v>6.7714673020641351E-7</v>
      </c>
      <c r="T16" s="111">
        <f>G16/($AJ$5*AF16*0.001*Table1123456[[#This Row],[pho (%)]])</f>
        <v>1.6509461958464569E-6</v>
      </c>
      <c r="U16" s="111">
        <f>Table1123456[[#This Row],[M (KN.mm)]]/(Table1123456[[#This Row],[b (mm)]]*Table1123456[[#This Row],[d (mm)]]*Table1123456[[#This Row],[pho (%)]])</f>
        <v>1.5594164705882356</v>
      </c>
      <c r="V16" s="111">
        <f>E16/(Table1123456[[#This Row],[b (mm)]]*Y16*Table1123456[[#This Row],[fc (Mpa)]]*Table1123456[[#This Row],[a (mm)]])</f>
        <v>1.0254655202911652E-8</v>
      </c>
      <c r="W16" s="111">
        <f>2.98*Table1123456[[#This Row],[d (mm)]]</f>
        <v>1579.4</v>
      </c>
      <c r="X16" s="160">
        <v>530</v>
      </c>
      <c r="Y16" s="160">
        <v>611</v>
      </c>
      <c r="Z16" s="160">
        <v>306</v>
      </c>
      <c r="AA16" s="160">
        <v>66.099999999999994</v>
      </c>
      <c r="AB16" s="160">
        <v>2039</v>
      </c>
      <c r="AC16" s="160">
        <v>1.25</v>
      </c>
      <c r="AD16" s="160">
        <v>525</v>
      </c>
      <c r="AE16" s="111">
        <f>(1/3-0.21*(MIN(Table1123456[[#This Row],[b (mm)]],Y16)/MAX(Table1123456[[#This Row],[b (mm)]],Y16))*(MIN(Table1123456[[#This Row],[b (mm)]],Y16)^4/(12*MAX(Table1123456[[#This Row],[b (mm)]],Y16)^4)))*MAX(Table1123456[[#This Row],[b (mm)]],Y16)*MIN(Table1123456[[#This Row],[b (mm)]],Y16)^3</f>
        <v>5825930185.1099443</v>
      </c>
      <c r="AF16" s="111">
        <f>Table1123456[[#This Row],[b (mm)]]*Y16^3/12</f>
        <v>5816527840.5</v>
      </c>
      <c r="AG16" s="160">
        <v>3162</v>
      </c>
      <c r="AH16" s="138"/>
      <c r="AI16" s="128"/>
      <c r="AJ16" s="138"/>
      <c r="AK16" s="1"/>
    </row>
    <row r="17" spans="1:42" s="129" customFormat="1" x14ac:dyDescent="0.25">
      <c r="A17" s="153" t="s">
        <v>95</v>
      </c>
      <c r="B17" s="161">
        <v>7</v>
      </c>
      <c r="C17" s="111">
        <v>18</v>
      </c>
      <c r="D17" s="111">
        <f>Table1123456[[#This Row],[a (mm)]]/Table1123456[[#This Row],[d (mm)]]</f>
        <v>2.98</v>
      </c>
      <c r="E17" s="160">
        <v>222.40000000000003</v>
      </c>
      <c r="F17" s="137">
        <f>Table1123456[[#This Row],[d (mm)]]</f>
        <v>530</v>
      </c>
      <c r="G17" s="111">
        <f t="shared" si="3"/>
        <v>351258.56000000006</v>
      </c>
      <c r="H17" s="111">
        <f t="shared" si="0"/>
        <v>2.2929808275645232E-6</v>
      </c>
      <c r="I17" s="111">
        <f>G17/(Table1123456[[#This Row],[b (mm)]]*X17^2)</f>
        <v>4.0865211493402399E-3</v>
      </c>
      <c r="J17" s="111">
        <f t="shared" si="1"/>
        <v>0.61911954973259542</v>
      </c>
      <c r="K17" s="111">
        <f t="shared" si="2"/>
        <v>1.2157376286233402E-6</v>
      </c>
      <c r="L17" s="111">
        <f>E17/(Table1123456[[#This Row],[b (mm)]]*X17)</f>
        <v>1.371315821926255E-3</v>
      </c>
      <c r="M17" s="111">
        <f>Table1123456[[#This Row],[M (KN.mm)]]/(Table1123456[[#This Row],[b (mm)]]*Table1123456[[#This Row],[d (mm)]])</f>
        <v>2.1658562091503271</v>
      </c>
      <c r="N17" s="111">
        <f>Table1123456[[#This Row],[M (KN.mm)]]/(Table1123456[[#This Row],[b (mm)]]*Table1123456[[#This Row],[h (mm)]])</f>
        <v>1.8787296085919367</v>
      </c>
      <c r="O17" s="111">
        <f>Table1123456[[#This Row],[M (KN.mm)]]/(Table1123456[[#This Row],[b (mm)]]*Table1123456[[#This Row],[h (mm)]]*Table1123456[[#This Row],[L(mm)]])</f>
        <v>5.9415863649333862E-4</v>
      </c>
      <c r="P17" s="111">
        <f>Table1123456[[#This Row],[M (KN.mm)]]/(Table1123456[[#This Row],[b (mm)]]*Table1123456[[#This Row],[d (mm)]]*Table1123456[[#This Row],[L(mm)]])</f>
        <v>6.8496401301401872E-4</v>
      </c>
      <c r="Q17" s="111">
        <f>Table1123456[[#This Row],[M (KN.mm)]]/(Table1123456[[#This Row],[b (mm)]]*Table1123456[[#This Row],[h (mm)]]*Table1123456[[#This Row],[L(mm)]]*Table1123456[[#This Row],[fc (Mpa)]])</f>
        <v>8.9887842132123863E-6</v>
      </c>
      <c r="R17" s="111">
        <f>Table1123456[[#This Row],[M (KN.mm)]]/(Table1123456[[#This Row],[b (mm)]]*Table1123456[[#This Row],[h (mm)]]*Table1123456[[#This Row],[L(mm)]]/2)</f>
        <v>1.1883172729866772E-3</v>
      </c>
      <c r="S17" s="111">
        <f>Table1123456[[#This Row],[M (KN.mm)]]/(Table1123456[[#This Row],[a (mm)]]*Table1123456[[#This Row],[b (mm)]]*Table1123456[[#This Row],[h (mm)]]*Table1123456[[#This Row],[L(mm)]]/2)</f>
        <v>7.5238525578490379E-7</v>
      </c>
      <c r="T17" s="111">
        <f>G17/($AJ$5*AF17*0.001*Table1123456[[#This Row],[pho (%)]])</f>
        <v>1.8343846620516186E-6</v>
      </c>
      <c r="U17" s="111">
        <f>Table1123456[[#This Row],[M (KN.mm)]]/(Table1123456[[#This Row],[b (mm)]]*Table1123456[[#This Row],[d (mm)]]*Table1123456[[#This Row],[pho (%)]])</f>
        <v>1.7326849673202618</v>
      </c>
      <c r="V17" s="111">
        <f>E17/(Table1123456[[#This Row],[b (mm)]]*Y17*Table1123456[[#This Row],[fc (Mpa)]]*Table1123456[[#This Row],[a (mm)]])</f>
        <v>1.1394061336568502E-8</v>
      </c>
      <c r="W17" s="111">
        <f>2.98*Table1123456[[#This Row],[d (mm)]]</f>
        <v>1579.4</v>
      </c>
      <c r="X17" s="160">
        <v>530</v>
      </c>
      <c r="Y17" s="160">
        <v>611</v>
      </c>
      <c r="Z17" s="160">
        <v>306</v>
      </c>
      <c r="AA17" s="160">
        <v>66.099999999999994</v>
      </c>
      <c r="AB17" s="160">
        <v>2039</v>
      </c>
      <c r="AC17" s="160">
        <v>1.25</v>
      </c>
      <c r="AD17" s="160">
        <v>525</v>
      </c>
      <c r="AE17" s="111">
        <f>(1/3-0.21*(MIN(Table1123456[[#This Row],[b (mm)]],Y17)/MAX(Table1123456[[#This Row],[b (mm)]],Y17))*(MIN(Table1123456[[#This Row],[b (mm)]],Y17)^4/(12*MAX(Table1123456[[#This Row],[b (mm)]],Y17)^4)))*MAX(Table1123456[[#This Row],[b (mm)]],Y17)*MIN(Table1123456[[#This Row],[b (mm)]],Y17)^3</f>
        <v>5825930185.1099443</v>
      </c>
      <c r="AF17" s="111">
        <f>Table1123456[[#This Row],[b (mm)]]*Y17^3/12</f>
        <v>5816527840.5</v>
      </c>
      <c r="AG17" s="160">
        <v>3162</v>
      </c>
      <c r="AH17" s="138"/>
      <c r="AI17" s="128"/>
      <c r="AJ17" s="138"/>
      <c r="AK17" s="1"/>
    </row>
    <row r="18" spans="1:42" s="129" customFormat="1" x14ac:dyDescent="0.25">
      <c r="A18" s="153" t="s">
        <v>95</v>
      </c>
      <c r="B18" s="161">
        <v>8</v>
      </c>
      <c r="C18" s="111">
        <v>19</v>
      </c>
      <c r="D18" s="111">
        <f>Table1123456[[#This Row],[a (mm)]]/Table1123456[[#This Row],[d (mm)]]</f>
        <v>2.98</v>
      </c>
      <c r="E18" s="160">
        <v>244.64000000000001</v>
      </c>
      <c r="F18" s="137">
        <f>Table1123456[[#This Row],[d (mm)]]</f>
        <v>530</v>
      </c>
      <c r="G18" s="111">
        <f t="shared" si="3"/>
        <v>386384.41600000003</v>
      </c>
      <c r="H18" s="111">
        <f t="shared" si="0"/>
        <v>2.5222789103209754E-6</v>
      </c>
      <c r="I18" s="111">
        <f>G18/(Table1123456[[#This Row],[b (mm)]]*X18^2)</f>
        <v>4.4951732642742638E-3</v>
      </c>
      <c r="J18" s="111">
        <f t="shared" si="1"/>
        <v>0.68103150470585494</v>
      </c>
      <c r="K18" s="111">
        <f t="shared" si="2"/>
        <v>1.3373113914856741E-6</v>
      </c>
      <c r="L18" s="111">
        <f>E18/(Table1123456[[#This Row],[b (mm)]]*X18)</f>
        <v>1.5084474041188803E-3</v>
      </c>
      <c r="M18" s="111">
        <f>Table1123456[[#This Row],[M (KN.mm)]]/(Table1123456[[#This Row],[b (mm)]]*Table1123456[[#This Row],[d (mm)]])</f>
        <v>2.3824418300653596</v>
      </c>
      <c r="N18" s="111">
        <f>Table1123456[[#This Row],[M (KN.mm)]]/(Table1123456[[#This Row],[b (mm)]]*Table1123456[[#This Row],[h (mm)]])</f>
        <v>2.0666025694511303</v>
      </c>
      <c r="O18" s="111">
        <f>Table1123456[[#This Row],[M (KN.mm)]]/(Table1123456[[#This Row],[b (mm)]]*Table1123456[[#This Row],[h (mm)]]*Table1123456[[#This Row],[L(mm)]])</f>
        <v>6.5357450014267248E-4</v>
      </c>
      <c r="P18" s="111">
        <f>Table1123456[[#This Row],[M (KN.mm)]]/(Table1123456[[#This Row],[b (mm)]]*Table1123456[[#This Row],[d (mm)]]*Table1123456[[#This Row],[L(mm)]])</f>
        <v>7.5346041431542047E-4</v>
      </c>
      <c r="Q18" s="111">
        <f>Table1123456[[#This Row],[M (KN.mm)]]/(Table1123456[[#This Row],[b (mm)]]*Table1123456[[#This Row],[h (mm)]]*Table1123456[[#This Row],[L(mm)]]*Table1123456[[#This Row],[fc (Mpa)]])</f>
        <v>9.887662634533624E-6</v>
      </c>
      <c r="R18" s="111">
        <f>Table1123456[[#This Row],[M (KN.mm)]]/(Table1123456[[#This Row],[b (mm)]]*Table1123456[[#This Row],[h (mm)]]*Table1123456[[#This Row],[L(mm)]]/2)</f>
        <v>1.307149000285345E-3</v>
      </c>
      <c r="S18" s="111">
        <f>Table1123456[[#This Row],[M (KN.mm)]]/(Table1123456[[#This Row],[a (mm)]]*Table1123456[[#This Row],[b (mm)]]*Table1123456[[#This Row],[h (mm)]]*Table1123456[[#This Row],[L(mm)]]/2)</f>
        <v>8.2762378136339407E-7</v>
      </c>
      <c r="T18" s="111">
        <f>G18/($AJ$5*AF18*0.001*Table1123456[[#This Row],[pho (%)]])</f>
        <v>2.0178231282567802E-6</v>
      </c>
      <c r="U18" s="111">
        <f>Table1123456[[#This Row],[M (KN.mm)]]/(Table1123456[[#This Row],[b (mm)]]*Table1123456[[#This Row],[d (mm)]]*Table1123456[[#This Row],[pho (%)]])</f>
        <v>1.9059534640522877</v>
      </c>
      <c r="V18" s="111">
        <f>E18/(Table1123456[[#This Row],[b (mm)]]*Y18*Table1123456[[#This Row],[fc (Mpa)]]*Table1123456[[#This Row],[a (mm)]])</f>
        <v>1.2533467470225352E-8</v>
      </c>
      <c r="W18" s="111">
        <f>2.98*Table1123456[[#This Row],[d (mm)]]</f>
        <v>1579.4</v>
      </c>
      <c r="X18" s="160">
        <v>530</v>
      </c>
      <c r="Y18" s="160">
        <v>611</v>
      </c>
      <c r="Z18" s="160">
        <v>306</v>
      </c>
      <c r="AA18" s="160">
        <v>66.099999999999994</v>
      </c>
      <c r="AB18" s="160">
        <v>2039</v>
      </c>
      <c r="AC18" s="160">
        <v>1.25</v>
      </c>
      <c r="AD18" s="160">
        <v>525</v>
      </c>
      <c r="AE18" s="111">
        <f>(1/3-0.21*(MIN(Table1123456[[#This Row],[b (mm)]],Y18)/MAX(Table1123456[[#This Row],[b (mm)]],Y18))*(MIN(Table1123456[[#This Row],[b (mm)]],Y18)^4/(12*MAX(Table1123456[[#This Row],[b (mm)]],Y18)^4)))*MAX(Table1123456[[#This Row],[b (mm)]],Y18)*MIN(Table1123456[[#This Row],[b (mm)]],Y18)^3</f>
        <v>5825930185.1099443</v>
      </c>
      <c r="AF18" s="111">
        <f>Table1123456[[#This Row],[b (mm)]]*Y18^3/12</f>
        <v>5816527840.5</v>
      </c>
      <c r="AG18" s="160">
        <v>3162</v>
      </c>
      <c r="AH18" s="138"/>
      <c r="AI18" s="128"/>
      <c r="AJ18" s="138"/>
      <c r="AK18" s="1"/>
    </row>
    <row r="19" spans="1:42" s="129" customFormat="1" x14ac:dyDescent="0.25">
      <c r="A19" s="154" t="s">
        <v>96</v>
      </c>
      <c r="B19" s="162">
        <v>1</v>
      </c>
      <c r="C19" s="111">
        <v>22</v>
      </c>
      <c r="D19" s="111">
        <f>Table1123456[[#This Row],[a (mm)]]/Table1123456[[#This Row],[d (mm)]]</f>
        <v>2.98</v>
      </c>
      <c r="E19" s="160">
        <v>124.54400000000001</v>
      </c>
      <c r="F19" s="137">
        <f>Table1123456[[#This Row],[d (mm)]]</f>
        <v>681</v>
      </c>
      <c r="G19" s="111">
        <f t="shared" si="3"/>
        <v>252747.10272</v>
      </c>
      <c r="H19" s="111">
        <f t="shared" si="0"/>
        <v>8.5337515868152085E-7</v>
      </c>
      <c r="I19" s="111">
        <f>G19/(Table1123456[[#This Row],[b (mm)]]*X19^2)</f>
        <v>1.7868665655617342E-3</v>
      </c>
      <c r="J19" s="111">
        <f t="shared" si="1"/>
        <v>0.27389983210641866</v>
      </c>
      <c r="K19" s="111">
        <f t="shared" si="2"/>
        <v>5.5067357178921684E-7</v>
      </c>
      <c r="L19" s="111">
        <f>E19/(Table1123456[[#This Row],[b (mm)]]*X19)</f>
        <v>5.996196528730652E-4</v>
      </c>
      <c r="M19" s="111">
        <f>Table1123456[[#This Row],[M (KN.mm)]]/(Table1123456[[#This Row],[b (mm)]]*Table1123456[[#This Row],[d (mm)]])</f>
        <v>1.216856131147541</v>
      </c>
      <c r="N19" s="111">
        <f>Table1123456[[#This Row],[M (KN.mm)]]/(Table1123456[[#This Row],[b (mm)]]*Table1123456[[#This Row],[h (mm)]])</f>
        <v>1.0875052825609914</v>
      </c>
      <c r="O19" s="111">
        <f>Table1123456[[#This Row],[M (KN.mm)]]/(Table1123456[[#This Row],[b (mm)]]*Table1123456[[#This Row],[h (mm)]]*Table1123456[[#This Row],[L(mm)]])</f>
        <v>2.6759480377977149E-4</v>
      </c>
      <c r="P19" s="111">
        <f>Table1123456[[#This Row],[M (KN.mm)]]/(Table1123456[[#This Row],[b (mm)]]*Table1123456[[#This Row],[d (mm)]]*Table1123456[[#This Row],[L(mm)]])</f>
        <v>2.9942326061701305E-4</v>
      </c>
      <c r="Q19" s="111">
        <f>Table1123456[[#This Row],[M (KN.mm)]]/(Table1123456[[#This Row],[b (mm)]]*Table1123456[[#This Row],[h (mm)]]*Table1123456[[#This Row],[L(mm)]]*Table1123456[[#This Row],[fc (Mpa)]])</f>
        <v>4.1168431350734077E-6</v>
      </c>
      <c r="R19" s="111">
        <f>Table1123456[[#This Row],[M (KN.mm)]]/(Table1123456[[#This Row],[b (mm)]]*Table1123456[[#This Row],[h (mm)]]*Table1123456[[#This Row],[L(mm)]]/2)</f>
        <v>5.3518960755954297E-4</v>
      </c>
      <c r="S19" s="111">
        <f>Table1123456[[#This Row],[M (KN.mm)]]/(Table1123456[[#This Row],[a (mm)]]*Table1123456[[#This Row],[b (mm)]]*Table1123456[[#This Row],[h (mm)]]*Table1123456[[#This Row],[L(mm)]]/2)</f>
        <v>2.6372074602072704E-7</v>
      </c>
      <c r="T19" s="111">
        <f>G19/($AJ$5*AF19*0.001*Table1123456[[#This Row],[pho (%)]])</f>
        <v>6.8820577313025886E-7</v>
      </c>
      <c r="U19" s="111">
        <f>Table1123456[[#This Row],[M (KN.mm)]]/(Table1123456[[#This Row],[b (mm)]]*Table1123456[[#This Row],[d (mm)]]*Table1123456[[#This Row],[pho (%)]])</f>
        <v>0.98133558963511358</v>
      </c>
      <c r="V19" s="111">
        <f>E19/(Table1123456[[#This Row],[b (mm)]]*Y19*Table1123456[[#This Row],[fc (Mpa)]]*Table1123456[[#This Row],[a (mm)]])</f>
        <v>4.0624802870002532E-9</v>
      </c>
      <c r="W19" s="111">
        <f>2.98*Table1123456[[#This Row],[d (mm)]]</f>
        <v>2029.3799999999999</v>
      </c>
      <c r="X19" s="160">
        <v>681</v>
      </c>
      <c r="Y19" s="160">
        <v>762</v>
      </c>
      <c r="Z19" s="160">
        <v>305</v>
      </c>
      <c r="AA19" s="160">
        <v>65</v>
      </c>
      <c r="AB19" s="160">
        <v>2581</v>
      </c>
      <c r="AC19" s="160">
        <v>1.24</v>
      </c>
      <c r="AD19" s="160">
        <v>525</v>
      </c>
      <c r="AE19" s="111">
        <f>(1/3-0.21*(MIN(Table1123456[[#This Row],[b (mm)]],Y19)/MAX(Table1123456[[#This Row],[b (mm)]],Y19))*(MIN(Table1123456[[#This Row],[b (mm)]],Y19)^4/(12*MAX(Table1123456[[#This Row],[b (mm)]],Y19)^4)))*MAX(Table1123456[[#This Row],[b (mm)]],Y19)*MIN(Table1123456[[#This Row],[b (mm)]],Y19)^3</f>
        <v>7202759729.0792322</v>
      </c>
      <c r="AF19" s="111">
        <f>Table1123456[[#This Row],[b (mm)]]*Y19^3/12</f>
        <v>11245622670</v>
      </c>
      <c r="AG19" s="160">
        <v>4064</v>
      </c>
      <c r="AH19" s="138"/>
      <c r="AI19" s="138"/>
      <c r="AJ19" s="138"/>
      <c r="AK19" s="1"/>
    </row>
    <row r="20" spans="1:42" s="129" customFormat="1" x14ac:dyDescent="0.25">
      <c r="A20" s="154" t="s">
        <v>96</v>
      </c>
      <c r="B20" s="162">
        <v>2</v>
      </c>
      <c r="C20" s="111">
        <v>23</v>
      </c>
      <c r="D20" s="111">
        <f>Table1123456[[#This Row],[a (mm)]]/Table1123456[[#This Row],[d (mm)]]</f>
        <v>2.98</v>
      </c>
      <c r="E20" s="160">
        <v>133.44</v>
      </c>
      <c r="F20" s="137">
        <f>Table1123456[[#This Row],[d (mm)]]</f>
        <v>681</v>
      </c>
      <c r="G20" s="111">
        <f t="shared" si="3"/>
        <v>270800.46719999996</v>
      </c>
      <c r="H20" s="111">
        <f t="shared" si="0"/>
        <v>9.1433052715877226E-7</v>
      </c>
      <c r="I20" s="111">
        <f>G20/(Table1123456[[#This Row],[b (mm)]]*X20^2)</f>
        <v>1.9144998916732863E-3</v>
      </c>
      <c r="J20" s="111">
        <f t="shared" si="1"/>
        <v>0.29346410582830568</v>
      </c>
      <c r="K20" s="111">
        <f t="shared" si="2"/>
        <v>5.9000739834558945E-7</v>
      </c>
      <c r="L20" s="111">
        <f>E20/(Table1123456[[#This Row],[b (mm)]]*X20)</f>
        <v>6.4244962807828406E-4</v>
      </c>
      <c r="M20" s="111">
        <f>Table1123456[[#This Row],[M (KN.mm)]]/(Table1123456[[#This Row],[b (mm)]]*Table1123456[[#This Row],[d (mm)]])</f>
        <v>1.3037744262295079</v>
      </c>
      <c r="N20" s="111">
        <f>Table1123456[[#This Row],[M (KN.mm)]]/(Table1123456[[#This Row],[b (mm)]]*Table1123456[[#This Row],[h (mm)]])</f>
        <v>1.1651842313153478</v>
      </c>
      <c r="O20" s="111">
        <f>Table1123456[[#This Row],[M (KN.mm)]]/(Table1123456[[#This Row],[b (mm)]]*Table1123456[[#This Row],[h (mm)]]*Table1123456[[#This Row],[L(mm)]])</f>
        <v>2.8670871833546939E-4</v>
      </c>
      <c r="P20" s="111">
        <f>Table1123456[[#This Row],[M (KN.mm)]]/(Table1123456[[#This Row],[b (mm)]]*Table1123456[[#This Row],[d (mm)]]*Table1123456[[#This Row],[L(mm)]])</f>
        <v>3.2081063637537106E-4</v>
      </c>
      <c r="Q20" s="111">
        <f>Table1123456[[#This Row],[M (KN.mm)]]/(Table1123456[[#This Row],[b (mm)]]*Table1123456[[#This Row],[h (mm)]]*Table1123456[[#This Row],[L(mm)]]*Table1123456[[#This Row],[fc (Mpa)]])</f>
        <v>4.4109033590072214E-6</v>
      </c>
      <c r="R20" s="111">
        <f>Table1123456[[#This Row],[M (KN.mm)]]/(Table1123456[[#This Row],[b (mm)]]*Table1123456[[#This Row],[h (mm)]]*Table1123456[[#This Row],[L(mm)]]/2)</f>
        <v>5.7341743667093878E-4</v>
      </c>
      <c r="S20" s="111">
        <f>Table1123456[[#This Row],[M (KN.mm)]]/(Table1123456[[#This Row],[a (mm)]]*Table1123456[[#This Row],[b (mm)]]*Table1123456[[#This Row],[h (mm)]]*Table1123456[[#This Row],[L(mm)]]/2)</f>
        <v>2.8255794216506465E-7</v>
      </c>
      <c r="T20" s="111">
        <f>G20/($AJ$5*AF20*0.001*Table1123456[[#This Row],[pho (%)]])</f>
        <v>7.3736332835384863E-7</v>
      </c>
      <c r="U20" s="111">
        <f>Table1123456[[#This Row],[M (KN.mm)]]/(Table1123456[[#This Row],[b (mm)]]*Table1123456[[#This Row],[d (mm)]]*Table1123456[[#This Row],[pho (%)]])</f>
        <v>1.0514309888947644</v>
      </c>
      <c r="V20" s="111">
        <f>E20/(Table1123456[[#This Row],[b (mm)]]*Y20*Table1123456[[#This Row],[fc (Mpa)]]*Table1123456[[#This Row],[a (mm)]])</f>
        <v>4.3526574503574141E-9</v>
      </c>
      <c r="W20" s="111">
        <f>2.98*Table1123456[[#This Row],[d (mm)]]</f>
        <v>2029.3799999999999</v>
      </c>
      <c r="X20" s="160">
        <v>681</v>
      </c>
      <c r="Y20" s="160">
        <v>762</v>
      </c>
      <c r="Z20" s="160">
        <v>305</v>
      </c>
      <c r="AA20" s="160">
        <v>65</v>
      </c>
      <c r="AB20" s="160">
        <v>2581</v>
      </c>
      <c r="AC20" s="160">
        <v>1.24</v>
      </c>
      <c r="AD20" s="160">
        <v>525</v>
      </c>
      <c r="AE20" s="111">
        <f>(1/3-0.21*(MIN(Table1123456[[#This Row],[b (mm)]],Y20)/MAX(Table1123456[[#This Row],[b (mm)]],Y20))*(MIN(Table1123456[[#This Row],[b (mm)]],Y20)^4/(12*MAX(Table1123456[[#This Row],[b (mm)]],Y20)^4)))*MAX(Table1123456[[#This Row],[b (mm)]],Y20)*MIN(Table1123456[[#This Row],[b (mm)]],Y20)^3</f>
        <v>7202759729.0792322</v>
      </c>
      <c r="AF20" s="111">
        <f>Table1123456[[#This Row],[b (mm)]]*Y20^3/12</f>
        <v>11245622670</v>
      </c>
      <c r="AG20" s="160">
        <v>4064</v>
      </c>
      <c r="AH20" s="138"/>
      <c r="AI20" s="138"/>
      <c r="AJ20" s="138"/>
      <c r="AK20" s="1"/>
    </row>
    <row r="21" spans="1:42" s="129" customFormat="1" x14ac:dyDescent="0.25">
      <c r="A21" s="154" t="s">
        <v>96</v>
      </c>
      <c r="B21" s="162">
        <v>3</v>
      </c>
      <c r="C21" s="111">
        <v>24</v>
      </c>
      <c r="D21" s="111">
        <f>Table1123456[[#This Row],[a (mm)]]/Table1123456[[#This Row],[d (mm)]]</f>
        <v>2.98</v>
      </c>
      <c r="E21" s="160">
        <v>155.68</v>
      </c>
      <c r="F21" s="137">
        <f>Table1123456[[#This Row],[d (mm)]]</f>
        <v>681</v>
      </c>
      <c r="G21" s="111">
        <f t="shared" si="3"/>
        <v>315933.87839999999</v>
      </c>
      <c r="H21" s="111">
        <f t="shared" si="0"/>
        <v>1.0667189483519011E-6</v>
      </c>
      <c r="I21" s="111">
        <f>G21/(Table1123456[[#This Row],[b (mm)]]*X21^2)</f>
        <v>2.2335832069521676E-3</v>
      </c>
      <c r="J21" s="111">
        <f t="shared" si="1"/>
        <v>0.34237479013302335</v>
      </c>
      <c r="K21" s="111">
        <f t="shared" si="2"/>
        <v>6.8834196473652099E-7</v>
      </c>
      <c r="L21" s="111">
        <f>E21/(Table1123456[[#This Row],[b (mm)]]*X21)</f>
        <v>7.4952456609133147E-4</v>
      </c>
      <c r="M21" s="111">
        <f>Table1123456[[#This Row],[M (KN.mm)]]/(Table1123456[[#This Row],[b (mm)]]*Table1123456[[#This Row],[d (mm)]])</f>
        <v>1.5210701639344262</v>
      </c>
      <c r="N21" s="111">
        <f>Table1123456[[#This Row],[M (KN.mm)]]/(Table1123456[[#This Row],[b (mm)]]*Table1123456[[#This Row],[h (mm)]])</f>
        <v>1.3593816032012391</v>
      </c>
      <c r="O21" s="111">
        <f>Table1123456[[#This Row],[M (KN.mm)]]/(Table1123456[[#This Row],[b (mm)]]*Table1123456[[#This Row],[h (mm)]]*Table1123456[[#This Row],[L(mm)]])</f>
        <v>3.3449350472471433E-4</v>
      </c>
      <c r="P21" s="111">
        <f>Table1123456[[#This Row],[M (KN.mm)]]/(Table1123456[[#This Row],[b (mm)]]*Table1123456[[#This Row],[d (mm)]]*Table1123456[[#This Row],[L(mm)]])</f>
        <v>3.7427907577126625E-4</v>
      </c>
      <c r="Q21" s="111">
        <f>Table1123456[[#This Row],[M (KN.mm)]]/(Table1123456[[#This Row],[b (mm)]]*Table1123456[[#This Row],[h (mm)]]*Table1123456[[#This Row],[L(mm)]]*Table1123456[[#This Row],[fc (Mpa)]])</f>
        <v>5.146053918841759E-6</v>
      </c>
      <c r="R21" s="111">
        <f>Table1123456[[#This Row],[M (KN.mm)]]/(Table1123456[[#This Row],[b (mm)]]*Table1123456[[#This Row],[h (mm)]]*Table1123456[[#This Row],[L(mm)]]/2)</f>
        <v>6.6898700944942866E-4</v>
      </c>
      <c r="S21" s="111">
        <f>Table1123456[[#This Row],[M (KN.mm)]]/(Table1123456[[#This Row],[a (mm)]]*Table1123456[[#This Row],[b (mm)]]*Table1123456[[#This Row],[h (mm)]]*Table1123456[[#This Row],[L(mm)]]/2)</f>
        <v>3.2965093252590882E-7</v>
      </c>
      <c r="T21" s="111">
        <f>G21/($AJ$5*AF21*0.001*Table1123456[[#This Row],[pho (%)]])</f>
        <v>8.6025721641282349E-7</v>
      </c>
      <c r="U21" s="111">
        <f>Table1123456[[#This Row],[M (KN.mm)]]/(Table1123456[[#This Row],[b (mm)]]*Table1123456[[#This Row],[d (mm)]]*Table1123456[[#This Row],[pho (%)]])</f>
        <v>1.2266694870438921</v>
      </c>
      <c r="V21" s="111">
        <f>E21/(Table1123456[[#This Row],[b (mm)]]*Y21*Table1123456[[#This Row],[fc (Mpa)]]*Table1123456[[#This Row],[a (mm)]])</f>
        <v>5.0781003587503166E-9</v>
      </c>
      <c r="W21" s="111">
        <f>2.98*Table1123456[[#This Row],[d (mm)]]</f>
        <v>2029.3799999999999</v>
      </c>
      <c r="X21" s="160">
        <v>681</v>
      </c>
      <c r="Y21" s="160">
        <v>762</v>
      </c>
      <c r="Z21" s="160">
        <v>305</v>
      </c>
      <c r="AA21" s="160">
        <v>65</v>
      </c>
      <c r="AB21" s="160">
        <v>2581</v>
      </c>
      <c r="AC21" s="160">
        <v>1.24</v>
      </c>
      <c r="AD21" s="160">
        <v>525</v>
      </c>
      <c r="AE21" s="111">
        <f>(1/3-0.21*(MIN(Table1123456[[#This Row],[b (mm)]],Y21)/MAX(Table1123456[[#This Row],[b (mm)]],Y21))*(MIN(Table1123456[[#This Row],[b (mm)]],Y21)^4/(12*MAX(Table1123456[[#This Row],[b (mm)]],Y21)^4)))*MAX(Table1123456[[#This Row],[b (mm)]],Y21)*MIN(Table1123456[[#This Row],[b (mm)]],Y21)^3</f>
        <v>7202759729.0792322</v>
      </c>
      <c r="AF21" s="111">
        <f>Table1123456[[#This Row],[b (mm)]]*Y21^3/12</f>
        <v>11245622670</v>
      </c>
      <c r="AG21" s="160">
        <v>4064</v>
      </c>
      <c r="AH21" s="138"/>
      <c r="AI21" s="138"/>
      <c r="AJ21" s="138"/>
      <c r="AK21" s="1"/>
    </row>
    <row r="22" spans="1:42" s="129" customFormat="1" x14ac:dyDescent="0.25">
      <c r="A22" s="154" t="s">
        <v>96</v>
      </c>
      <c r="B22" s="162">
        <v>4</v>
      </c>
      <c r="C22" s="111">
        <v>25</v>
      </c>
      <c r="D22" s="111">
        <f>Table1123456[[#This Row],[a (mm)]]/Table1123456[[#This Row],[d (mm)]]</f>
        <v>2.98</v>
      </c>
      <c r="E22" s="160">
        <v>177.92000000000002</v>
      </c>
      <c r="F22" s="137">
        <f>Table1123456[[#This Row],[d (mm)]]</f>
        <v>681</v>
      </c>
      <c r="G22" s="111">
        <f t="shared" si="3"/>
        <v>361067.28960000002</v>
      </c>
      <c r="H22" s="111">
        <f t="shared" si="0"/>
        <v>1.21910736954503E-6</v>
      </c>
      <c r="I22" s="111">
        <f>G22/(Table1123456[[#This Row],[b (mm)]]*X22^2)</f>
        <v>2.5526665222310491E-3</v>
      </c>
      <c r="J22" s="111">
        <f t="shared" si="1"/>
        <v>0.39128547443774103</v>
      </c>
      <c r="K22" s="111">
        <f t="shared" si="2"/>
        <v>7.8667653112745264E-7</v>
      </c>
      <c r="L22" s="111">
        <f>E22/(Table1123456[[#This Row],[b (mm)]]*X22)</f>
        <v>8.5659950410437889E-4</v>
      </c>
      <c r="M22" s="111">
        <f>Table1123456[[#This Row],[M (KN.mm)]]/(Table1123456[[#This Row],[b (mm)]]*Table1123456[[#This Row],[d (mm)]])</f>
        <v>1.7383659016393445</v>
      </c>
      <c r="N22" s="111">
        <f>Table1123456[[#This Row],[M (KN.mm)]]/(Table1123456[[#This Row],[b (mm)]]*Table1123456[[#This Row],[h (mm)]])</f>
        <v>1.5535789750871305</v>
      </c>
      <c r="O22" s="111">
        <f>Table1123456[[#This Row],[M (KN.mm)]]/(Table1123456[[#This Row],[b (mm)]]*Table1123456[[#This Row],[h (mm)]]*Table1123456[[#This Row],[L(mm)]])</f>
        <v>3.8227829111395927E-4</v>
      </c>
      <c r="P22" s="111">
        <f>Table1123456[[#This Row],[M (KN.mm)]]/(Table1123456[[#This Row],[b (mm)]]*Table1123456[[#This Row],[d (mm)]]*Table1123456[[#This Row],[L(mm)]])</f>
        <v>4.277475151671615E-4</v>
      </c>
      <c r="Q22" s="111">
        <f>Table1123456[[#This Row],[M (KN.mm)]]/(Table1123456[[#This Row],[b (mm)]]*Table1123456[[#This Row],[h (mm)]]*Table1123456[[#This Row],[L(mm)]]*Table1123456[[#This Row],[fc (Mpa)]])</f>
        <v>5.8812044786762966E-6</v>
      </c>
      <c r="R22" s="111">
        <f>Table1123456[[#This Row],[M (KN.mm)]]/(Table1123456[[#This Row],[b (mm)]]*Table1123456[[#This Row],[h (mm)]]*Table1123456[[#This Row],[L(mm)]]/2)</f>
        <v>7.6455658222791855E-4</v>
      </c>
      <c r="S22" s="111">
        <f>Table1123456[[#This Row],[M (KN.mm)]]/(Table1123456[[#This Row],[a (mm)]]*Table1123456[[#This Row],[b (mm)]]*Table1123456[[#This Row],[h (mm)]]*Table1123456[[#This Row],[L(mm)]]/2)</f>
        <v>3.7674392288675298E-7</v>
      </c>
      <c r="T22" s="111">
        <f>G22/($AJ$5*AF22*0.001*Table1123456[[#This Row],[pho (%)]])</f>
        <v>9.8315110447179846E-7</v>
      </c>
      <c r="U22" s="111">
        <f>Table1123456[[#This Row],[M (KN.mm)]]/(Table1123456[[#This Row],[b (mm)]]*Table1123456[[#This Row],[d (mm)]]*Table1123456[[#This Row],[pho (%)]])</f>
        <v>1.4019079851930196</v>
      </c>
      <c r="V22" s="111">
        <f>E22/(Table1123456[[#This Row],[b (mm)]]*Y22*Table1123456[[#This Row],[fc (Mpa)]]*Table1123456[[#This Row],[a (mm)]])</f>
        <v>5.8035432671432191E-9</v>
      </c>
      <c r="W22" s="111">
        <f>2.98*Table1123456[[#This Row],[d (mm)]]</f>
        <v>2029.3799999999999</v>
      </c>
      <c r="X22" s="160">
        <v>681</v>
      </c>
      <c r="Y22" s="160">
        <v>762</v>
      </c>
      <c r="Z22" s="160">
        <v>305</v>
      </c>
      <c r="AA22" s="160">
        <v>65</v>
      </c>
      <c r="AB22" s="160">
        <v>2581</v>
      </c>
      <c r="AC22" s="160">
        <v>1.24</v>
      </c>
      <c r="AD22" s="160">
        <v>525</v>
      </c>
      <c r="AE22" s="111">
        <f>(1/3-0.21*(MIN(Table1123456[[#This Row],[b (mm)]],Y22)/MAX(Table1123456[[#This Row],[b (mm)]],Y22))*(MIN(Table1123456[[#This Row],[b (mm)]],Y22)^4/(12*MAX(Table1123456[[#This Row],[b (mm)]],Y22)^4)))*MAX(Table1123456[[#This Row],[b (mm)]],Y22)*MIN(Table1123456[[#This Row],[b (mm)]],Y22)^3</f>
        <v>7202759729.0792322</v>
      </c>
      <c r="AF22" s="111">
        <f>Table1123456[[#This Row],[b (mm)]]*Y22^3/12</f>
        <v>11245622670</v>
      </c>
      <c r="AG22" s="160">
        <v>4064</v>
      </c>
      <c r="AH22" s="138"/>
      <c r="AI22" s="138"/>
      <c r="AJ22" s="138"/>
      <c r="AK22" s="1"/>
    </row>
    <row r="23" spans="1:42" s="129" customFormat="1" x14ac:dyDescent="0.25">
      <c r="A23" s="154" t="s">
        <v>96</v>
      </c>
      <c r="B23" s="162">
        <v>5</v>
      </c>
      <c r="C23" s="111">
        <v>26</v>
      </c>
      <c r="D23" s="111">
        <f>Table1123456[[#This Row],[a (mm)]]/Table1123456[[#This Row],[d (mm)]]</f>
        <v>2.98</v>
      </c>
      <c r="E23" s="160">
        <v>200.16000000000003</v>
      </c>
      <c r="F23" s="137">
        <f>Table1123456[[#This Row],[d (mm)]]</f>
        <v>681</v>
      </c>
      <c r="G23" s="111">
        <f t="shared" si="3"/>
        <v>406200.70080000005</v>
      </c>
      <c r="H23" s="111">
        <f t="shared" si="0"/>
        <v>1.3714957907381588E-6</v>
      </c>
      <c r="I23" s="111">
        <f>G23/(Table1123456[[#This Row],[b (mm)]]*X23^2)</f>
        <v>2.8717498375099302E-3</v>
      </c>
      <c r="J23" s="111">
        <f t="shared" si="1"/>
        <v>0.44019615874245865</v>
      </c>
      <c r="K23" s="111">
        <f t="shared" si="2"/>
        <v>8.8501109751838429E-7</v>
      </c>
      <c r="L23" s="111">
        <f>E23/(Table1123456[[#This Row],[b (mm)]]*X23)</f>
        <v>9.636744421174263E-4</v>
      </c>
      <c r="M23" s="111">
        <f>Table1123456[[#This Row],[M (KN.mm)]]/(Table1123456[[#This Row],[b (mm)]]*Table1123456[[#This Row],[d (mm)]])</f>
        <v>1.9556616393442625</v>
      </c>
      <c r="N23" s="111">
        <f>Table1123456[[#This Row],[M (KN.mm)]]/(Table1123456[[#This Row],[b (mm)]]*Table1123456[[#This Row],[h (mm)]])</f>
        <v>1.7477763469730221</v>
      </c>
      <c r="O23" s="111">
        <f>Table1123456[[#This Row],[M (KN.mm)]]/(Table1123456[[#This Row],[b (mm)]]*Table1123456[[#This Row],[h (mm)]]*Table1123456[[#This Row],[L(mm)]])</f>
        <v>4.3006307750320422E-4</v>
      </c>
      <c r="P23" s="111">
        <f>Table1123456[[#This Row],[M (KN.mm)]]/(Table1123456[[#This Row],[b (mm)]]*Table1123456[[#This Row],[d (mm)]]*Table1123456[[#This Row],[L(mm)]])</f>
        <v>4.8121595456305675E-4</v>
      </c>
      <c r="Q23" s="111">
        <f>Table1123456[[#This Row],[M (KN.mm)]]/(Table1123456[[#This Row],[b (mm)]]*Table1123456[[#This Row],[h (mm)]]*Table1123456[[#This Row],[L(mm)]]*Table1123456[[#This Row],[fc (Mpa)]])</f>
        <v>6.6163550385108342E-6</v>
      </c>
      <c r="R23" s="111">
        <f>Table1123456[[#This Row],[M (KN.mm)]]/(Table1123456[[#This Row],[b (mm)]]*Table1123456[[#This Row],[h (mm)]]*Table1123456[[#This Row],[L(mm)]]/2)</f>
        <v>8.6012615500640844E-4</v>
      </c>
      <c r="S23" s="111">
        <f>Table1123456[[#This Row],[M (KN.mm)]]/(Table1123456[[#This Row],[a (mm)]]*Table1123456[[#This Row],[b (mm)]]*Table1123456[[#This Row],[h (mm)]]*Table1123456[[#This Row],[L(mm)]]/2)</f>
        <v>4.2383691324759709E-7</v>
      </c>
      <c r="T23" s="111">
        <f>G23/($AJ$5*AF23*0.001*Table1123456[[#This Row],[pho (%)]])</f>
        <v>1.1060449925307733E-6</v>
      </c>
      <c r="U23" s="111">
        <f>Table1123456[[#This Row],[M (KN.mm)]]/(Table1123456[[#This Row],[b (mm)]]*Table1123456[[#This Row],[d (mm)]]*Table1123456[[#This Row],[pho (%)]])</f>
        <v>1.5771464833421471</v>
      </c>
      <c r="V23" s="111">
        <f>E23/(Table1123456[[#This Row],[b (mm)]]*Y23*Table1123456[[#This Row],[fc (Mpa)]]*Table1123456[[#This Row],[a (mm)]])</f>
        <v>6.5289861755361216E-9</v>
      </c>
      <c r="W23" s="111">
        <f>2.98*Table1123456[[#This Row],[d (mm)]]</f>
        <v>2029.3799999999999</v>
      </c>
      <c r="X23" s="160">
        <v>681</v>
      </c>
      <c r="Y23" s="160">
        <v>762</v>
      </c>
      <c r="Z23" s="160">
        <v>305</v>
      </c>
      <c r="AA23" s="160">
        <v>65</v>
      </c>
      <c r="AB23" s="160">
        <v>2581</v>
      </c>
      <c r="AC23" s="160">
        <v>1.24</v>
      </c>
      <c r="AD23" s="160">
        <v>525</v>
      </c>
      <c r="AE23" s="111">
        <f>(1/3-0.21*(MIN(Table1123456[[#This Row],[b (mm)]],Y23)/MAX(Table1123456[[#This Row],[b (mm)]],Y23))*(MIN(Table1123456[[#This Row],[b (mm)]],Y23)^4/(12*MAX(Table1123456[[#This Row],[b (mm)]],Y23)^4)))*MAX(Table1123456[[#This Row],[b (mm)]],Y23)*MIN(Table1123456[[#This Row],[b (mm)]],Y23)^3</f>
        <v>7202759729.0792322</v>
      </c>
      <c r="AF23" s="111">
        <f>Table1123456[[#This Row],[b (mm)]]*Y23^3/12</f>
        <v>11245622670</v>
      </c>
      <c r="AG23" s="160">
        <v>4064</v>
      </c>
      <c r="AH23" s="138"/>
      <c r="AI23" s="138"/>
      <c r="AJ23" s="138"/>
      <c r="AK23" s="1"/>
    </row>
    <row r="24" spans="1:42" s="129" customFormat="1" x14ac:dyDescent="0.25">
      <c r="A24" s="154" t="s">
        <v>96</v>
      </c>
      <c r="B24" s="162">
        <v>6</v>
      </c>
      <c r="C24" s="111">
        <v>27</v>
      </c>
      <c r="D24" s="111">
        <f>Table1123456[[#This Row],[a (mm)]]/Table1123456[[#This Row],[d (mm)]]</f>
        <v>2.98</v>
      </c>
      <c r="E24" s="160">
        <v>222.40000000000003</v>
      </c>
      <c r="F24" s="137">
        <f>Table1123456[[#This Row],[d (mm)]]</f>
        <v>681</v>
      </c>
      <c r="G24" s="111">
        <f t="shared" si="3"/>
        <v>451334.11200000002</v>
      </c>
      <c r="H24" s="111">
        <f t="shared" si="0"/>
        <v>1.5238842119312875E-6</v>
      </c>
      <c r="I24" s="111">
        <f>G24/(Table1123456[[#This Row],[b (mm)]]*X24^2)</f>
        <v>3.1908331527888112E-3</v>
      </c>
      <c r="J24" s="111">
        <f t="shared" si="1"/>
        <v>0.48910684304717628</v>
      </c>
      <c r="K24" s="111">
        <f t="shared" si="2"/>
        <v>9.8334566390931583E-7</v>
      </c>
      <c r="L24" s="111">
        <f>E24/(Table1123456[[#This Row],[b (mm)]]*X24)</f>
        <v>1.0707493801304737E-3</v>
      </c>
      <c r="M24" s="111">
        <f>Table1123456[[#This Row],[M (KN.mm)]]/(Table1123456[[#This Row],[b (mm)]]*Table1123456[[#This Row],[d (mm)]])</f>
        <v>2.1729573770491806</v>
      </c>
      <c r="N24" s="111">
        <f>Table1123456[[#This Row],[M (KN.mm)]]/(Table1123456[[#This Row],[b (mm)]]*Table1123456[[#This Row],[h (mm)]])</f>
        <v>1.9419737188589132</v>
      </c>
      <c r="O24" s="111">
        <f>Table1123456[[#This Row],[M (KN.mm)]]/(Table1123456[[#This Row],[b (mm)]]*Table1123456[[#This Row],[h (mm)]]*Table1123456[[#This Row],[L(mm)]])</f>
        <v>4.7784786389244911E-4</v>
      </c>
      <c r="P24" s="111">
        <f>Table1123456[[#This Row],[M (KN.mm)]]/(Table1123456[[#This Row],[b (mm)]]*Table1123456[[#This Row],[d (mm)]]*Table1123456[[#This Row],[L(mm)]])</f>
        <v>5.3468439395895184E-4</v>
      </c>
      <c r="Q24" s="111">
        <f>Table1123456[[#This Row],[M (KN.mm)]]/(Table1123456[[#This Row],[b (mm)]]*Table1123456[[#This Row],[h (mm)]]*Table1123456[[#This Row],[L(mm)]]*Table1123456[[#This Row],[fc (Mpa)]])</f>
        <v>7.3515055983453709E-6</v>
      </c>
      <c r="R24" s="111">
        <f>Table1123456[[#This Row],[M (KN.mm)]]/(Table1123456[[#This Row],[b (mm)]]*Table1123456[[#This Row],[h (mm)]]*Table1123456[[#This Row],[L(mm)]]/2)</f>
        <v>9.5569572778489821E-4</v>
      </c>
      <c r="S24" s="111">
        <f>Table1123456[[#This Row],[M (KN.mm)]]/(Table1123456[[#This Row],[a (mm)]]*Table1123456[[#This Row],[b (mm)]]*Table1123456[[#This Row],[h (mm)]]*Table1123456[[#This Row],[L(mm)]]/2)</f>
        <v>4.709299036084412E-7</v>
      </c>
      <c r="T24" s="111">
        <f>G24/($AJ$5*AF24*0.001*Table1123456[[#This Row],[pho (%)]])</f>
        <v>1.228938880589748E-6</v>
      </c>
      <c r="U24" s="111">
        <f>Table1123456[[#This Row],[M (KN.mm)]]/(Table1123456[[#This Row],[b (mm)]]*Table1123456[[#This Row],[d (mm)]]*Table1123456[[#This Row],[pho (%)]])</f>
        <v>1.7523849814912744</v>
      </c>
      <c r="V24" s="111">
        <f>E24/(Table1123456[[#This Row],[b (mm)]]*Y24*Table1123456[[#This Row],[fc (Mpa)]]*Table1123456[[#This Row],[a (mm)]])</f>
        <v>7.254429083929025E-9</v>
      </c>
      <c r="W24" s="111">
        <f>2.98*Table1123456[[#This Row],[d (mm)]]</f>
        <v>2029.3799999999999</v>
      </c>
      <c r="X24" s="160">
        <v>681</v>
      </c>
      <c r="Y24" s="160">
        <v>762</v>
      </c>
      <c r="Z24" s="160">
        <v>305</v>
      </c>
      <c r="AA24" s="160">
        <v>65</v>
      </c>
      <c r="AB24" s="160">
        <v>2581</v>
      </c>
      <c r="AC24" s="160">
        <v>1.24</v>
      </c>
      <c r="AD24" s="160">
        <v>525</v>
      </c>
      <c r="AE24" s="111">
        <f>(1/3-0.21*(MIN(Table1123456[[#This Row],[b (mm)]],Y24)/MAX(Table1123456[[#This Row],[b (mm)]],Y24))*(MIN(Table1123456[[#This Row],[b (mm)]],Y24)^4/(12*MAX(Table1123456[[#This Row],[b (mm)]],Y24)^4)))*MAX(Table1123456[[#This Row],[b (mm)]],Y24)*MIN(Table1123456[[#This Row],[b (mm)]],Y24)^3</f>
        <v>7202759729.0792322</v>
      </c>
      <c r="AF24" s="111">
        <f>Table1123456[[#This Row],[b (mm)]]*Y24^3/12</f>
        <v>11245622670</v>
      </c>
      <c r="AG24" s="160">
        <v>4064</v>
      </c>
      <c r="AH24" s="138"/>
      <c r="AI24" s="138"/>
      <c r="AJ24" s="138"/>
      <c r="AK24" s="1"/>
    </row>
    <row r="25" spans="1:42" s="129" customFormat="1" x14ac:dyDescent="0.25">
      <c r="A25" s="154" t="s">
        <v>96</v>
      </c>
      <c r="B25" s="162">
        <v>7</v>
      </c>
      <c r="C25" s="111">
        <v>28</v>
      </c>
      <c r="D25" s="111">
        <f>Table1123456[[#This Row],[a (mm)]]/Table1123456[[#This Row],[d (mm)]]</f>
        <v>2.98</v>
      </c>
      <c r="E25" s="160">
        <v>244.64000000000001</v>
      </c>
      <c r="F25" s="137">
        <f>Table1123456[[#This Row],[d (mm)]]</f>
        <v>681</v>
      </c>
      <c r="G25" s="111">
        <f t="shared" si="3"/>
        <v>496467.5232</v>
      </c>
      <c r="H25" s="111">
        <f t="shared" si="0"/>
        <v>1.6762726331244161E-6</v>
      </c>
      <c r="I25" s="111">
        <f>G25/(Table1123456[[#This Row],[b (mm)]]*X25^2)</f>
        <v>3.5099164680676923E-3</v>
      </c>
      <c r="J25" s="111">
        <f t="shared" si="1"/>
        <v>0.5380175273518939</v>
      </c>
      <c r="K25" s="111">
        <f t="shared" si="2"/>
        <v>1.0816802303002474E-6</v>
      </c>
      <c r="L25" s="111">
        <f>E25/(Table1123456[[#This Row],[b (mm)]]*X25)</f>
        <v>1.1778243181435209E-3</v>
      </c>
      <c r="M25" s="111">
        <f>Table1123456[[#This Row],[M (KN.mm)]]/(Table1123456[[#This Row],[b (mm)]]*Table1123456[[#This Row],[d (mm)]])</f>
        <v>2.3902531147540982</v>
      </c>
      <c r="N25" s="111">
        <f>Table1123456[[#This Row],[M (KN.mm)]]/(Table1123456[[#This Row],[b (mm)]]*Table1123456[[#This Row],[h (mm)]])</f>
        <v>2.1361710907448046</v>
      </c>
      <c r="O25" s="111">
        <f>Table1123456[[#This Row],[M (KN.mm)]]/(Table1123456[[#This Row],[b (mm)]]*Table1123456[[#This Row],[h (mm)]]*Table1123456[[#This Row],[L(mm)]])</f>
        <v>5.25632650281694E-4</v>
      </c>
      <c r="P25" s="111">
        <f>Table1123456[[#This Row],[M (KN.mm)]]/(Table1123456[[#This Row],[b (mm)]]*Table1123456[[#This Row],[d (mm)]]*Table1123456[[#This Row],[L(mm)]])</f>
        <v>5.8815283335484703E-4</v>
      </c>
      <c r="Q25" s="111">
        <f>Table1123456[[#This Row],[M (KN.mm)]]/(Table1123456[[#This Row],[b (mm)]]*Table1123456[[#This Row],[h (mm)]]*Table1123456[[#This Row],[L(mm)]]*Table1123456[[#This Row],[fc (Mpa)]])</f>
        <v>8.0866561581799077E-6</v>
      </c>
      <c r="R25" s="111">
        <f>Table1123456[[#This Row],[M (KN.mm)]]/(Table1123456[[#This Row],[b (mm)]]*Table1123456[[#This Row],[h (mm)]]*Table1123456[[#This Row],[L(mm)]]/2)</f>
        <v>1.051265300563388E-3</v>
      </c>
      <c r="S25" s="111">
        <f>Table1123456[[#This Row],[M (KN.mm)]]/(Table1123456[[#This Row],[a (mm)]]*Table1123456[[#This Row],[b (mm)]]*Table1123456[[#This Row],[h (mm)]]*Table1123456[[#This Row],[L(mm)]]/2)</f>
        <v>5.1802289396928531E-7</v>
      </c>
      <c r="T25" s="111">
        <f>G25/($AJ$5*AF25*0.001*Table1123456[[#This Row],[pho (%)]])</f>
        <v>1.3518327686487226E-6</v>
      </c>
      <c r="U25" s="111">
        <f>Table1123456[[#This Row],[M (KN.mm)]]/(Table1123456[[#This Row],[b (mm)]]*Table1123456[[#This Row],[d (mm)]]*Table1123456[[#This Row],[pho (%)]])</f>
        <v>1.9276234796404017</v>
      </c>
      <c r="V25" s="111">
        <f>E25/(Table1123456[[#This Row],[b (mm)]]*Y25*Table1123456[[#This Row],[fc (Mpa)]]*Table1123456[[#This Row],[a (mm)]])</f>
        <v>7.9798719923219258E-9</v>
      </c>
      <c r="W25" s="111">
        <f>2.98*Table1123456[[#This Row],[d (mm)]]</f>
        <v>2029.3799999999999</v>
      </c>
      <c r="X25" s="160">
        <v>681</v>
      </c>
      <c r="Y25" s="160">
        <v>762</v>
      </c>
      <c r="Z25" s="160">
        <v>305</v>
      </c>
      <c r="AA25" s="160">
        <v>65</v>
      </c>
      <c r="AB25" s="160">
        <v>2581</v>
      </c>
      <c r="AC25" s="160">
        <v>1.24</v>
      </c>
      <c r="AD25" s="160">
        <v>525</v>
      </c>
      <c r="AE25" s="111">
        <f>(1/3-0.21*(MIN(Table1123456[[#This Row],[b (mm)]],Y25)/MAX(Table1123456[[#This Row],[b (mm)]],Y25))*(MIN(Table1123456[[#This Row],[b (mm)]],Y25)^4/(12*MAX(Table1123456[[#This Row],[b (mm)]],Y25)^4)))*MAX(Table1123456[[#This Row],[b (mm)]],Y25)*MIN(Table1123456[[#This Row],[b (mm)]],Y25)^3</f>
        <v>7202759729.0792322</v>
      </c>
      <c r="AF25" s="111">
        <f>Table1123456[[#This Row],[b (mm)]]*Y25^3/12</f>
        <v>11245622670</v>
      </c>
      <c r="AG25" s="160">
        <v>4064</v>
      </c>
      <c r="AH25" s="138"/>
      <c r="AI25" s="138"/>
      <c r="AJ25" s="138"/>
      <c r="AK25" s="1"/>
    </row>
    <row r="26" spans="1:42" s="129" customFormat="1" x14ac:dyDescent="0.25">
      <c r="A26" s="154" t="s">
        <v>96</v>
      </c>
      <c r="B26" s="162">
        <v>8</v>
      </c>
      <c r="C26" s="111">
        <v>29</v>
      </c>
      <c r="D26" s="111">
        <f>Table1123456[[#This Row],[a (mm)]]/Table1123456[[#This Row],[d (mm)]]</f>
        <v>2.98</v>
      </c>
      <c r="E26" s="160">
        <v>266.88</v>
      </c>
      <c r="F26" s="137">
        <f>Table1123456[[#This Row],[d (mm)]]</f>
        <v>681</v>
      </c>
      <c r="G26" s="111">
        <f t="shared" si="3"/>
        <v>541600.93439999991</v>
      </c>
      <c r="H26" s="111">
        <f t="shared" si="0"/>
        <v>1.8286610543175445E-6</v>
      </c>
      <c r="I26" s="111">
        <f>G26/(Table1123456[[#This Row],[b (mm)]]*X26^2)</f>
        <v>3.8289997833465725E-3</v>
      </c>
      <c r="J26" s="111">
        <f t="shared" si="1"/>
        <v>0.58692821165661135</v>
      </c>
      <c r="K26" s="111">
        <f t="shared" si="2"/>
        <v>1.1800147966911789E-6</v>
      </c>
      <c r="L26" s="111">
        <f>E26/(Table1123456[[#This Row],[b (mm)]]*X26)</f>
        <v>1.2848992561565681E-3</v>
      </c>
      <c r="M26" s="111">
        <f>Table1123456[[#This Row],[M (KN.mm)]]/(Table1123456[[#This Row],[b (mm)]]*Table1123456[[#This Row],[d (mm)]])</f>
        <v>2.6075488524590158</v>
      </c>
      <c r="N26" s="111">
        <f>Table1123456[[#This Row],[M (KN.mm)]]/(Table1123456[[#This Row],[b (mm)]]*Table1123456[[#This Row],[h (mm)]])</f>
        <v>2.3303684626306955</v>
      </c>
      <c r="O26" s="111">
        <f>Table1123456[[#This Row],[M (KN.mm)]]/(Table1123456[[#This Row],[b (mm)]]*Table1123456[[#This Row],[h (mm)]]*Table1123456[[#This Row],[L(mm)]])</f>
        <v>5.7341743667093878E-4</v>
      </c>
      <c r="P26" s="111">
        <f>Table1123456[[#This Row],[M (KN.mm)]]/(Table1123456[[#This Row],[b (mm)]]*Table1123456[[#This Row],[d (mm)]]*Table1123456[[#This Row],[L(mm)]])</f>
        <v>6.4162127275074212E-4</v>
      </c>
      <c r="Q26" s="111">
        <f>Table1123456[[#This Row],[M (KN.mm)]]/(Table1123456[[#This Row],[b (mm)]]*Table1123456[[#This Row],[h (mm)]]*Table1123456[[#This Row],[L(mm)]]*Table1123456[[#This Row],[fc (Mpa)]])</f>
        <v>8.8218067180144427E-6</v>
      </c>
      <c r="R26" s="111">
        <f>Table1123456[[#This Row],[M (KN.mm)]]/(Table1123456[[#This Row],[b (mm)]]*Table1123456[[#This Row],[h (mm)]]*Table1123456[[#This Row],[L(mm)]]/2)</f>
        <v>1.1468348733418776E-3</v>
      </c>
      <c r="S26" s="111">
        <f>Table1123456[[#This Row],[M (KN.mm)]]/(Table1123456[[#This Row],[a (mm)]]*Table1123456[[#This Row],[b (mm)]]*Table1123456[[#This Row],[h (mm)]]*Table1123456[[#This Row],[L(mm)]]/2)</f>
        <v>5.6511588433012931E-7</v>
      </c>
      <c r="T26" s="111">
        <f>G26/($AJ$5*AF26*0.001*Table1123456[[#This Row],[pho (%)]])</f>
        <v>1.4747266567076973E-6</v>
      </c>
      <c r="U26" s="111">
        <f>Table1123456[[#This Row],[M (KN.mm)]]/(Table1123456[[#This Row],[b (mm)]]*Table1123456[[#This Row],[d (mm)]]*Table1123456[[#This Row],[pho (%)]])</f>
        <v>2.1028619777895288</v>
      </c>
      <c r="V26" s="111">
        <f>E26/(Table1123456[[#This Row],[b (mm)]]*Y26*Table1123456[[#This Row],[fc (Mpa)]]*Table1123456[[#This Row],[a (mm)]])</f>
        <v>8.7053149007148283E-9</v>
      </c>
      <c r="W26" s="111">
        <f>2.98*Table1123456[[#This Row],[d (mm)]]</f>
        <v>2029.3799999999999</v>
      </c>
      <c r="X26" s="160">
        <v>681</v>
      </c>
      <c r="Y26" s="160">
        <v>762</v>
      </c>
      <c r="Z26" s="160">
        <v>305</v>
      </c>
      <c r="AA26" s="160">
        <v>65</v>
      </c>
      <c r="AB26" s="160">
        <v>2581</v>
      </c>
      <c r="AC26" s="160">
        <v>1.24</v>
      </c>
      <c r="AD26" s="160">
        <v>525</v>
      </c>
      <c r="AE26" s="111">
        <f>(1/3-0.21*(MIN(Table1123456[[#This Row],[b (mm)]],Y26)/MAX(Table1123456[[#This Row],[b (mm)]],Y26))*(MIN(Table1123456[[#This Row],[b (mm)]],Y26)^4/(12*MAX(Table1123456[[#This Row],[b (mm)]],Y26)^4)))*MAX(Table1123456[[#This Row],[b (mm)]],Y26)*MIN(Table1123456[[#This Row],[b (mm)]],Y26)^3</f>
        <v>7202759729.0792322</v>
      </c>
      <c r="AF26" s="111">
        <f>Table1123456[[#This Row],[b (mm)]]*Y26^3/12</f>
        <v>11245622670</v>
      </c>
      <c r="AG26" s="160">
        <v>4064</v>
      </c>
      <c r="AH26" s="138"/>
      <c r="AI26" s="138"/>
      <c r="AJ26" s="138"/>
      <c r="AK26" s="1"/>
    </row>
    <row r="27" spans="1:42" x14ac:dyDescent="0.25">
      <c r="A27" s="155" t="s">
        <v>97</v>
      </c>
      <c r="B27" s="163">
        <v>1</v>
      </c>
      <c r="C27" s="111">
        <v>32</v>
      </c>
      <c r="D27" s="111">
        <f>Table1123456[[#This Row],[a (mm)]]/Table1123456[[#This Row],[d (mm)]]</f>
        <v>3</v>
      </c>
      <c r="E27" s="160">
        <v>112.0896</v>
      </c>
      <c r="F27" s="137">
        <f>Table1123456[[#This Row],[d (mm)]]</f>
        <v>822</v>
      </c>
      <c r="G27" s="111">
        <f t="shared" si="3"/>
        <v>276412.95360000001</v>
      </c>
      <c r="H27" s="111">
        <f t="shared" si="0"/>
        <v>5.3903497119972196E-7</v>
      </c>
      <c r="I27" s="111">
        <f>G27/(Table1123456[[#This Row],[b (mm)]]*X27^2)</f>
        <v>1.3368827823100043E-3</v>
      </c>
      <c r="J27" s="111">
        <f t="shared" si="1"/>
        <v>0.19545682026243516</v>
      </c>
      <c r="K27" s="111">
        <f t="shared" si="2"/>
        <v>4.0901794431929235E-7</v>
      </c>
      <c r="L27" s="111">
        <f>E27/(Table1123456[[#This Row],[b (mm)]]*X27)</f>
        <v>4.4562759410333476E-4</v>
      </c>
      <c r="M27" s="111">
        <f>Table1123456[[#This Row],[M (KN.mm)]]/(Table1123456[[#This Row],[b (mm)]]*Table1123456[[#This Row],[d (mm)]])</f>
        <v>1.0989176470588236</v>
      </c>
      <c r="N27" s="111">
        <f>Table1123456[[#This Row],[M (KN.mm)]]/(Table1123456[[#This Row],[b (mm)]]*Table1123456[[#This Row],[h (mm)]])</f>
        <v>0.98830449221264005</v>
      </c>
      <c r="O27" s="111">
        <f>Table1123456[[#This Row],[M (KN.mm)]]/(Table1123456[[#This Row],[b (mm)]]*Table1123456[[#This Row],[h (mm)]]*Table1123456[[#This Row],[L(mm)]])</f>
        <v>2.00548801179513E-4</v>
      </c>
      <c r="P27" s="111">
        <f>Table1123456[[#This Row],[M (KN.mm)]]/(Table1123456[[#This Row],[b (mm)]]*Table1123456[[#This Row],[d (mm)]]*Table1123456[[#This Row],[L(mm)]])</f>
        <v>2.2299465240641712E-4</v>
      </c>
      <c r="Q27" s="111">
        <f>Table1123456[[#This Row],[M (KN.mm)]]/(Table1123456[[#This Row],[b (mm)]]*Table1123456[[#This Row],[h (mm)]]*Table1123456[[#This Row],[L(mm)]]*Table1123456[[#This Row],[fc (Mpa)]])</f>
        <v>2.6811337056084625E-6</v>
      </c>
      <c r="R27" s="111">
        <f>Table1123456[[#This Row],[M (KN.mm)]]/(Table1123456[[#This Row],[b (mm)]]*Table1123456[[#This Row],[h (mm)]]*Table1123456[[#This Row],[L(mm)]]/2)</f>
        <v>4.0109760235902599E-4</v>
      </c>
      <c r="S27" s="111">
        <f>Table1123456[[#This Row],[M (KN.mm)]]/(Table1123456[[#This Row],[a (mm)]]*Table1123456[[#This Row],[b (mm)]]*Table1123456[[#This Row],[h (mm)]]*Table1123456[[#This Row],[L(mm)]]/2)</f>
        <v>1.6265109584713138E-7</v>
      </c>
      <c r="T27" s="111">
        <f>G27/($AJ$5*AF27*0.001*Table1123456[[#This Row],[pho (%)]])</f>
        <v>4.1464228553824766E-7</v>
      </c>
      <c r="U27" s="111">
        <f>Table1123456[[#This Row],[M (KN.mm)]]/(Table1123456[[#This Row],[b (mm)]]*Table1123456[[#This Row],[d (mm)]]*Table1123456[[#This Row],[pho (%)]])</f>
        <v>0.84532126696832577</v>
      </c>
      <c r="V27" s="111">
        <f>E27/(Table1123456[[#This Row],[b (mm)]]*Y27*Table1123456[[#This Row],[fc (Mpa)]]*Table1123456[[#This Row],[a (mm)]])</f>
        <v>2.1727163225607933E-9</v>
      </c>
      <c r="W27" s="111">
        <f>3*Table1123456[[#This Row],[d (mm)]]</f>
        <v>2466</v>
      </c>
      <c r="X27" s="160">
        <v>822</v>
      </c>
      <c r="Y27" s="160">
        <v>914</v>
      </c>
      <c r="Z27" s="160">
        <v>306</v>
      </c>
      <c r="AA27" s="160">
        <v>74.8</v>
      </c>
      <c r="AB27" s="160">
        <v>3277</v>
      </c>
      <c r="AC27" s="160">
        <v>1.3</v>
      </c>
      <c r="AD27" s="160">
        <v>525</v>
      </c>
      <c r="AE27" s="111">
        <f>(1/3-0.21*(MIN(Table1123456[[#This Row],[b (mm)]],Y27)/MAX(Table1123456[[#This Row],[b (mm)]],Y27))*(MIN(Table1123456[[#This Row],[b (mm)]],Y27)^4/(12*MAX(Table1123456[[#This Row],[b (mm)]],Y27)^4)))*MAX(Table1123456[[#This Row],[b (mm)]],Y27)*MIN(Table1123456[[#This Row],[b (mm)]],Y27)^3</f>
        <v>8727569373.5573311</v>
      </c>
      <c r="AF27" s="111">
        <f>Table1123456[[#This Row],[b (mm)]]*Y27^3/12</f>
        <v>19470574572</v>
      </c>
      <c r="AG27" s="160">
        <v>4928</v>
      </c>
      <c r="AH27" s="1"/>
      <c r="AI27" s="1"/>
    </row>
    <row r="28" spans="1:42" x14ac:dyDescent="0.25">
      <c r="A28" s="155" t="s">
        <v>97</v>
      </c>
      <c r="B28" s="163">
        <v>2</v>
      </c>
      <c r="C28" s="111">
        <v>33</v>
      </c>
      <c r="D28" s="111">
        <f>Table1123456[[#This Row],[a (mm)]]/Table1123456[[#This Row],[d (mm)]]</f>
        <v>3</v>
      </c>
      <c r="E28" s="160">
        <v>133.44</v>
      </c>
      <c r="F28" s="137">
        <f>Table1123456[[#This Row],[d (mm)]]</f>
        <v>822</v>
      </c>
      <c r="G28" s="111">
        <f t="shared" si="3"/>
        <v>329063.03999999998</v>
      </c>
      <c r="H28" s="111">
        <f t="shared" si="0"/>
        <v>6.4170829904728801E-7</v>
      </c>
      <c r="I28" s="111">
        <f>G28/(Table1123456[[#This Row],[b (mm)]]*X28^2)</f>
        <v>1.591527121797624E-3</v>
      </c>
      <c r="J28" s="111">
        <f t="shared" si="1"/>
        <v>0.23268669078861326</v>
      </c>
      <c r="K28" s="111">
        <f t="shared" si="2"/>
        <v>4.8692612418963369E-7</v>
      </c>
      <c r="L28" s="111">
        <f>E28/(Table1123456[[#This Row],[b (mm)]]*X28)</f>
        <v>5.30509040599208E-4</v>
      </c>
      <c r="M28" s="111">
        <f>Table1123456[[#This Row],[M (KN.mm)]]/(Table1123456[[#This Row],[b (mm)]]*Table1123456[[#This Row],[d (mm)]])</f>
        <v>1.3082352941176469</v>
      </c>
      <c r="N28" s="111">
        <f>Table1123456[[#This Row],[M (KN.mm)]]/(Table1123456[[#This Row],[b (mm)]]*Table1123456[[#This Row],[h (mm)]])</f>
        <v>1.1765529669198094</v>
      </c>
      <c r="O28" s="111">
        <f>Table1123456[[#This Row],[M (KN.mm)]]/(Table1123456[[#This Row],[b (mm)]]*Table1123456[[#This Row],[h (mm)]]*Table1123456[[#This Row],[L(mm)]])</f>
        <v>2.3874857283275353E-4</v>
      </c>
      <c r="P28" s="111">
        <f>Table1123456[[#This Row],[M (KN.mm)]]/(Table1123456[[#This Row],[b (mm)]]*Table1123456[[#This Row],[d (mm)]]*Table1123456[[#This Row],[L(mm)]])</f>
        <v>2.6546982429335368E-4</v>
      </c>
      <c r="Q28" s="111">
        <f>Table1123456[[#This Row],[M (KN.mm)]]/(Table1123456[[#This Row],[b (mm)]]*Table1123456[[#This Row],[h (mm)]]*Table1123456[[#This Row],[L(mm)]]*Table1123456[[#This Row],[fc (Mpa)]])</f>
        <v>3.1918258400100744E-6</v>
      </c>
      <c r="R28" s="111">
        <f>Table1123456[[#This Row],[M (KN.mm)]]/(Table1123456[[#This Row],[b (mm)]]*Table1123456[[#This Row],[h (mm)]]*Table1123456[[#This Row],[L(mm)]]/2)</f>
        <v>4.7749714566550707E-4</v>
      </c>
      <c r="S28" s="111">
        <f>Table1123456[[#This Row],[M (KN.mm)]]/(Table1123456[[#This Row],[a (mm)]]*Table1123456[[#This Row],[b (mm)]]*Table1123456[[#This Row],[h (mm)]]*Table1123456[[#This Row],[L(mm)]]/2)</f>
        <v>1.9363225696087068E-7</v>
      </c>
      <c r="T28" s="111">
        <f>G28/($AJ$5*AF28*0.001*Table1123456[[#This Row],[pho (%)]])</f>
        <v>4.9362176849791382E-7</v>
      </c>
      <c r="U28" s="111">
        <f>Table1123456[[#This Row],[M (KN.mm)]]/(Table1123456[[#This Row],[b (mm)]]*Table1123456[[#This Row],[d (mm)]]*Table1123456[[#This Row],[pho (%)]])</f>
        <v>1.006334841628959</v>
      </c>
      <c r="V28" s="111">
        <f>E28/(Table1123456[[#This Row],[b (mm)]]*Y28*Table1123456[[#This Row],[fc (Mpa)]]*Table1123456[[#This Row],[a (mm)]])</f>
        <v>2.5865670506676108E-9</v>
      </c>
      <c r="W28" s="111">
        <f>3*Table1123456[[#This Row],[d (mm)]]</f>
        <v>2466</v>
      </c>
      <c r="X28" s="160">
        <v>822</v>
      </c>
      <c r="Y28" s="160">
        <v>914</v>
      </c>
      <c r="Z28" s="160">
        <v>306</v>
      </c>
      <c r="AA28" s="160">
        <v>74.8</v>
      </c>
      <c r="AB28" s="160">
        <v>3277</v>
      </c>
      <c r="AC28" s="160">
        <v>1.3</v>
      </c>
      <c r="AD28" s="160">
        <v>525</v>
      </c>
      <c r="AE28" s="111">
        <f>(1/3-0.21*(MIN(Table1123456[[#This Row],[b (mm)]],Y28)/MAX(Table1123456[[#This Row],[b (mm)]],Y28))*(MIN(Table1123456[[#This Row],[b (mm)]],Y28)^4/(12*MAX(Table1123456[[#This Row],[b (mm)]],Y28)^4)))*MAX(Table1123456[[#This Row],[b (mm)]],Y28)*MIN(Table1123456[[#This Row],[b (mm)]],Y28)^3</f>
        <v>8727569373.5573311</v>
      </c>
      <c r="AF28" s="111">
        <f>Table1123456[[#This Row],[b (mm)]]*Y28^3/12</f>
        <v>19470574572</v>
      </c>
      <c r="AG28" s="160">
        <v>4928</v>
      </c>
      <c r="AH28" s="1"/>
      <c r="AI28" s="1"/>
    </row>
    <row r="29" spans="1:42" x14ac:dyDescent="0.25">
      <c r="A29" s="155" t="s">
        <v>97</v>
      </c>
      <c r="B29" s="163">
        <v>3</v>
      </c>
      <c r="C29" s="111">
        <v>34</v>
      </c>
      <c r="D29" s="111">
        <f>Table1123456[[#This Row],[a (mm)]]/Table1123456[[#This Row],[d (mm)]]</f>
        <v>3</v>
      </c>
      <c r="E29" s="160">
        <v>155.68</v>
      </c>
      <c r="F29" s="137">
        <f>Table1123456[[#This Row],[d (mm)]]</f>
        <v>822</v>
      </c>
      <c r="G29" s="111">
        <f t="shared" si="3"/>
        <v>383906.88</v>
      </c>
      <c r="H29" s="111">
        <f t="shared" si="0"/>
        <v>7.4865968222183612E-7</v>
      </c>
      <c r="I29" s="111">
        <f>G29/(Table1123456[[#This Row],[b (mm)]]*X29^2)</f>
        <v>1.8567816420972283E-3</v>
      </c>
      <c r="J29" s="111">
        <f t="shared" si="1"/>
        <v>0.27146780592004882</v>
      </c>
      <c r="K29" s="111">
        <f t="shared" si="2"/>
        <v>5.6808047822123932E-7</v>
      </c>
      <c r="L29" s="111">
        <f>E29/(Table1123456[[#This Row],[b (mm)]]*X29)</f>
        <v>6.1892721403240944E-4</v>
      </c>
      <c r="M29" s="111">
        <f>Table1123456[[#This Row],[M (KN.mm)]]/(Table1123456[[#This Row],[b (mm)]]*Table1123456[[#This Row],[d (mm)]])</f>
        <v>1.5262745098039217</v>
      </c>
      <c r="N29" s="111">
        <f>Table1123456[[#This Row],[M (KN.mm)]]/(Table1123456[[#This Row],[b (mm)]]*Table1123456[[#This Row],[h (mm)]])</f>
        <v>1.3726451280731111</v>
      </c>
      <c r="O29" s="111">
        <f>Table1123456[[#This Row],[M (KN.mm)]]/(Table1123456[[#This Row],[b (mm)]]*Table1123456[[#This Row],[h (mm)]]*Table1123456[[#This Row],[L(mm)]])</f>
        <v>2.7854000163821249E-4</v>
      </c>
      <c r="P29" s="111">
        <f>Table1123456[[#This Row],[M (KN.mm)]]/(Table1123456[[#This Row],[b (mm)]]*Table1123456[[#This Row],[d (mm)]]*Table1123456[[#This Row],[L(mm)]])</f>
        <v>3.0971479500891265E-4</v>
      </c>
      <c r="Q29" s="111">
        <f>Table1123456[[#This Row],[M (KN.mm)]]/(Table1123456[[#This Row],[b (mm)]]*Table1123456[[#This Row],[h (mm)]]*Table1123456[[#This Row],[L(mm)]]*Table1123456[[#This Row],[fc (Mpa)]])</f>
        <v>3.7237968133450872E-6</v>
      </c>
      <c r="R29" s="111">
        <f>Table1123456[[#This Row],[M (KN.mm)]]/(Table1123456[[#This Row],[b (mm)]]*Table1123456[[#This Row],[h (mm)]]*Table1123456[[#This Row],[L(mm)]]/2)</f>
        <v>5.5708000327642497E-4</v>
      </c>
      <c r="S29" s="111">
        <f>Table1123456[[#This Row],[M (KN.mm)]]/(Table1123456[[#This Row],[a (mm)]]*Table1123456[[#This Row],[b (mm)]]*Table1123456[[#This Row],[h (mm)]]*Table1123456[[#This Row],[L(mm)]]/2)</f>
        <v>2.2590429978768247E-7</v>
      </c>
      <c r="T29" s="111">
        <f>G29/($AJ$5*AF29*0.001*Table1123456[[#This Row],[pho (%)]])</f>
        <v>5.7589206324756621E-7</v>
      </c>
      <c r="U29" s="111">
        <f>Table1123456[[#This Row],[M (KN.mm)]]/(Table1123456[[#This Row],[b (mm)]]*Table1123456[[#This Row],[d (mm)]]*Table1123456[[#This Row],[pho (%)]])</f>
        <v>1.1740573152337856</v>
      </c>
      <c r="V29" s="111">
        <f>E29/(Table1123456[[#This Row],[b (mm)]]*Y29*Table1123456[[#This Row],[fc (Mpa)]]*Table1123456[[#This Row],[a (mm)]])</f>
        <v>3.0176615591122131E-9</v>
      </c>
      <c r="W29" s="111">
        <f>3*Table1123456[[#This Row],[d (mm)]]</f>
        <v>2466</v>
      </c>
      <c r="X29" s="160">
        <v>822</v>
      </c>
      <c r="Y29" s="160">
        <v>914</v>
      </c>
      <c r="Z29" s="160">
        <v>306</v>
      </c>
      <c r="AA29" s="160">
        <v>74.8</v>
      </c>
      <c r="AB29" s="160">
        <v>3277</v>
      </c>
      <c r="AC29" s="160">
        <v>1.3</v>
      </c>
      <c r="AD29" s="160">
        <v>525</v>
      </c>
      <c r="AE29" s="111">
        <f>(1/3-0.21*(MIN(Table1123456[[#This Row],[b (mm)]],Y29)/MAX(Table1123456[[#This Row],[b (mm)]],Y29))*(MIN(Table1123456[[#This Row],[b (mm)]],Y29)^4/(12*MAX(Table1123456[[#This Row],[b (mm)]],Y29)^4)))*MAX(Table1123456[[#This Row],[b (mm)]],Y29)*MIN(Table1123456[[#This Row],[b (mm)]],Y29)^3</f>
        <v>8727569373.5573311</v>
      </c>
      <c r="AF29" s="111">
        <f>Table1123456[[#This Row],[b (mm)]]*Y29^3/12</f>
        <v>19470574572</v>
      </c>
      <c r="AG29" s="160">
        <v>4928</v>
      </c>
      <c r="AH29" s="1"/>
      <c r="AI29" s="1"/>
    </row>
    <row r="30" spans="1:42" x14ac:dyDescent="0.25">
      <c r="A30" s="155" t="s">
        <v>97</v>
      </c>
      <c r="B30" s="163">
        <v>4</v>
      </c>
      <c r="C30" s="111">
        <v>35</v>
      </c>
      <c r="D30" s="111">
        <f>Table1123456[[#This Row],[a (mm)]]/Table1123456[[#This Row],[d (mm)]]</f>
        <v>3</v>
      </c>
      <c r="E30" s="160">
        <v>177.92000000000002</v>
      </c>
      <c r="F30" s="137">
        <f>Table1123456[[#This Row],[d (mm)]]</f>
        <v>822</v>
      </c>
      <c r="G30" s="111">
        <f t="shared" si="3"/>
        <v>438750.72000000003</v>
      </c>
      <c r="H30" s="111">
        <f t="shared" si="0"/>
        <v>8.5561106539638423E-7</v>
      </c>
      <c r="I30" s="111">
        <f>G30/(Table1123456[[#This Row],[b (mm)]]*X30^2)</f>
        <v>2.1220361623968324E-3</v>
      </c>
      <c r="J30" s="111">
        <f t="shared" si="1"/>
        <v>0.31024892105148438</v>
      </c>
      <c r="K30" s="111">
        <f t="shared" si="2"/>
        <v>6.4923483225284505E-7</v>
      </c>
      <c r="L30" s="111">
        <f>E30/(Table1123456[[#This Row],[b (mm)]]*X30)</f>
        <v>7.0734538746561077E-4</v>
      </c>
      <c r="M30" s="111">
        <f>Table1123456[[#This Row],[M (KN.mm)]]/(Table1123456[[#This Row],[b (mm)]]*Table1123456[[#This Row],[d (mm)]])</f>
        <v>1.7443137254901961</v>
      </c>
      <c r="N30" s="111">
        <f>Table1123456[[#This Row],[M (KN.mm)]]/(Table1123456[[#This Row],[b (mm)]]*Table1123456[[#This Row],[h (mm)]])</f>
        <v>1.5687372892264129</v>
      </c>
      <c r="O30" s="111">
        <f>Table1123456[[#This Row],[M (KN.mm)]]/(Table1123456[[#This Row],[b (mm)]]*Table1123456[[#This Row],[h (mm)]]*Table1123456[[#This Row],[L(mm)]])</f>
        <v>3.1833143044367141E-4</v>
      </c>
      <c r="P30" s="111">
        <f>Table1123456[[#This Row],[M (KN.mm)]]/(Table1123456[[#This Row],[b (mm)]]*Table1123456[[#This Row],[d (mm)]]*Table1123456[[#This Row],[L(mm)]])</f>
        <v>3.5395976572447161E-4</v>
      </c>
      <c r="Q30" s="111">
        <f>Table1123456[[#This Row],[M (KN.mm)]]/(Table1123456[[#This Row],[b (mm)]]*Table1123456[[#This Row],[h (mm)]]*Table1123456[[#This Row],[L(mm)]]*Table1123456[[#This Row],[fc (Mpa)]])</f>
        <v>4.2557677866800995E-6</v>
      </c>
      <c r="R30" s="111">
        <f>Table1123456[[#This Row],[M (KN.mm)]]/(Table1123456[[#This Row],[b (mm)]]*Table1123456[[#This Row],[h (mm)]]*Table1123456[[#This Row],[L(mm)]]/2)</f>
        <v>6.3666286088734283E-4</v>
      </c>
      <c r="S30" s="111">
        <f>Table1123456[[#This Row],[M (KN.mm)]]/(Table1123456[[#This Row],[a (mm)]]*Table1123456[[#This Row],[b (mm)]]*Table1123456[[#This Row],[h (mm)]]*Table1123456[[#This Row],[L(mm)]]/2)</f>
        <v>2.5817634261449426E-7</v>
      </c>
      <c r="T30" s="111">
        <f>G30/($AJ$5*AF30*0.001*Table1123456[[#This Row],[pho (%)]])</f>
        <v>6.5816235799721849E-7</v>
      </c>
      <c r="U30" s="111">
        <f>Table1123456[[#This Row],[M (KN.mm)]]/(Table1123456[[#This Row],[b (mm)]]*Table1123456[[#This Row],[d (mm)]]*Table1123456[[#This Row],[pho (%)]])</f>
        <v>1.3417797888386123</v>
      </c>
      <c r="V30" s="111">
        <f>E30/(Table1123456[[#This Row],[b (mm)]]*Y30*Table1123456[[#This Row],[fc (Mpa)]]*Table1123456[[#This Row],[a (mm)]])</f>
        <v>3.448756067556815E-9</v>
      </c>
      <c r="W30" s="111">
        <f>3*Table1123456[[#This Row],[d (mm)]]</f>
        <v>2466</v>
      </c>
      <c r="X30" s="160">
        <v>822</v>
      </c>
      <c r="Y30" s="160">
        <v>914</v>
      </c>
      <c r="Z30" s="160">
        <v>306</v>
      </c>
      <c r="AA30" s="160">
        <v>74.8</v>
      </c>
      <c r="AB30" s="160">
        <v>3277</v>
      </c>
      <c r="AC30" s="160">
        <v>1.3</v>
      </c>
      <c r="AD30" s="160">
        <v>525</v>
      </c>
      <c r="AE30" s="111">
        <f>(1/3-0.21*(MIN(Table1123456[[#This Row],[b (mm)]],Y30)/MAX(Table1123456[[#This Row],[b (mm)]],Y30))*(MIN(Table1123456[[#This Row],[b (mm)]],Y30)^4/(12*MAX(Table1123456[[#This Row],[b (mm)]],Y30)^4)))*MAX(Table1123456[[#This Row],[b (mm)]],Y30)*MIN(Table1123456[[#This Row],[b (mm)]],Y30)^3</f>
        <v>8727569373.5573311</v>
      </c>
      <c r="AF30" s="111">
        <f>Table1123456[[#This Row],[b (mm)]]*Y30^3/12</f>
        <v>19470574572</v>
      </c>
      <c r="AG30" s="160">
        <v>4928</v>
      </c>
      <c r="AH30" s="1"/>
      <c r="AI30" s="1"/>
    </row>
    <row r="31" spans="1:42" x14ac:dyDescent="0.25">
      <c r="A31" s="155" t="s">
        <v>97</v>
      </c>
      <c r="B31" s="163">
        <v>5</v>
      </c>
      <c r="C31" s="111">
        <v>36</v>
      </c>
      <c r="D31" s="111">
        <f>Table1123456[[#This Row],[a (mm)]]/Table1123456[[#This Row],[d (mm)]]</f>
        <v>3</v>
      </c>
      <c r="E31" s="160">
        <v>200.16000000000003</v>
      </c>
      <c r="F31" s="137">
        <f>Table1123456[[#This Row],[d (mm)]]</f>
        <v>822</v>
      </c>
      <c r="G31" s="111">
        <f t="shared" si="3"/>
        <v>493594.56000000006</v>
      </c>
      <c r="H31" s="111">
        <f t="shared" si="0"/>
        <v>9.6256244857093223E-7</v>
      </c>
      <c r="I31" s="111">
        <f>G31/(Table1123456[[#This Row],[b (mm)]]*X31^2)</f>
        <v>2.3872906826964365E-3</v>
      </c>
      <c r="J31" s="111">
        <f t="shared" si="1"/>
        <v>0.34903003618291994</v>
      </c>
      <c r="K31" s="111">
        <f t="shared" si="2"/>
        <v>7.3038918628445069E-7</v>
      </c>
      <c r="L31" s="111">
        <f>E31/(Table1123456[[#This Row],[b (mm)]]*X31)</f>
        <v>7.9576356089881221E-4</v>
      </c>
      <c r="M31" s="111">
        <f>Table1123456[[#This Row],[M (KN.mm)]]/(Table1123456[[#This Row],[b (mm)]]*Table1123456[[#This Row],[d (mm)]])</f>
        <v>1.9623529411764709</v>
      </c>
      <c r="N31" s="111">
        <f>Table1123456[[#This Row],[M (KN.mm)]]/(Table1123456[[#This Row],[b (mm)]]*Table1123456[[#This Row],[h (mm)]])</f>
        <v>1.7648294503797144</v>
      </c>
      <c r="O31" s="111">
        <f>Table1123456[[#This Row],[M (KN.mm)]]/(Table1123456[[#This Row],[b (mm)]]*Table1123456[[#This Row],[h (mm)]]*Table1123456[[#This Row],[L(mm)]])</f>
        <v>3.5812285924913034E-4</v>
      </c>
      <c r="P31" s="111">
        <f>Table1123456[[#This Row],[M (KN.mm)]]/(Table1123456[[#This Row],[b (mm)]]*Table1123456[[#This Row],[d (mm)]]*Table1123456[[#This Row],[L(mm)]])</f>
        <v>3.9820473644003058E-4</v>
      </c>
      <c r="Q31" s="111">
        <f>Table1123456[[#This Row],[M (KN.mm)]]/(Table1123456[[#This Row],[b (mm)]]*Table1123456[[#This Row],[h (mm)]]*Table1123456[[#This Row],[L(mm)]]*Table1123456[[#This Row],[fc (Mpa)]])</f>
        <v>4.7877387600151127E-6</v>
      </c>
      <c r="R31" s="111">
        <f>Table1123456[[#This Row],[M (KN.mm)]]/(Table1123456[[#This Row],[b (mm)]]*Table1123456[[#This Row],[h (mm)]]*Table1123456[[#This Row],[L(mm)]]/2)</f>
        <v>7.1624571849826068E-4</v>
      </c>
      <c r="S31" s="111">
        <f>Table1123456[[#This Row],[M (KN.mm)]]/(Table1123456[[#This Row],[a (mm)]]*Table1123456[[#This Row],[b (mm)]]*Table1123456[[#This Row],[h (mm)]]*Table1123456[[#This Row],[L(mm)]]/2)</f>
        <v>2.9044838544130605E-7</v>
      </c>
      <c r="T31" s="111">
        <f>G31/($AJ$5*AF31*0.001*Table1123456[[#This Row],[pho (%)]])</f>
        <v>7.4043265274687088E-7</v>
      </c>
      <c r="U31" s="111">
        <f>Table1123456[[#This Row],[M (KN.mm)]]/(Table1123456[[#This Row],[b (mm)]]*Table1123456[[#This Row],[d (mm)]]*Table1123456[[#This Row],[pho (%)]])</f>
        <v>1.5095022624434389</v>
      </c>
      <c r="V31" s="111">
        <f>E31/(Table1123456[[#This Row],[b (mm)]]*Y31*Table1123456[[#This Row],[fc (Mpa)]]*Table1123456[[#This Row],[a (mm)]])</f>
        <v>3.8798505760014169E-9</v>
      </c>
      <c r="W31" s="111">
        <f>3*Table1123456[[#This Row],[d (mm)]]</f>
        <v>2466</v>
      </c>
      <c r="X31" s="160">
        <v>822</v>
      </c>
      <c r="Y31" s="160">
        <v>914</v>
      </c>
      <c r="Z31" s="160">
        <v>306</v>
      </c>
      <c r="AA31" s="160">
        <v>74.8</v>
      </c>
      <c r="AB31" s="160">
        <v>3277</v>
      </c>
      <c r="AC31" s="160">
        <v>1.3</v>
      </c>
      <c r="AD31" s="160">
        <v>525</v>
      </c>
      <c r="AE31" s="111">
        <f>(1/3-0.21*(MIN(Table1123456[[#This Row],[b (mm)]],Y31)/MAX(Table1123456[[#This Row],[b (mm)]],Y31))*(MIN(Table1123456[[#This Row],[b (mm)]],Y31)^4/(12*MAX(Table1123456[[#This Row],[b (mm)]],Y31)^4)))*MAX(Table1123456[[#This Row],[b (mm)]],Y31)*MIN(Table1123456[[#This Row],[b (mm)]],Y31)^3</f>
        <v>8727569373.5573311</v>
      </c>
      <c r="AF31" s="111">
        <f>Table1123456[[#This Row],[b (mm)]]*Y31^3/12</f>
        <v>19470574572</v>
      </c>
      <c r="AG31" s="160">
        <v>4928</v>
      </c>
      <c r="AH31" s="1"/>
      <c r="AI31" s="1"/>
    </row>
    <row r="32" spans="1:42" x14ac:dyDescent="0.25">
      <c r="A32" s="155" t="s">
        <v>97</v>
      </c>
      <c r="B32" s="163">
        <v>6</v>
      </c>
      <c r="C32" s="111">
        <v>37</v>
      </c>
      <c r="D32" s="111">
        <f>Table1123456[[#This Row],[a (mm)]]/Table1123456[[#This Row],[d (mm)]]</f>
        <v>3</v>
      </c>
      <c r="E32" s="160">
        <v>222.40000000000003</v>
      </c>
      <c r="F32" s="137">
        <f>Table1123456[[#This Row],[d (mm)]]</f>
        <v>822</v>
      </c>
      <c r="G32" s="111">
        <f t="shared" si="3"/>
        <v>548438.40000000014</v>
      </c>
      <c r="H32" s="111">
        <f t="shared" si="0"/>
        <v>1.0695138317454804E-6</v>
      </c>
      <c r="I32" s="111">
        <f>G32/(Table1123456[[#This Row],[b (mm)]]*X32^2)</f>
        <v>2.6525452029960411E-3</v>
      </c>
      <c r="J32" s="111">
        <f t="shared" si="1"/>
        <v>0.38781115131435556</v>
      </c>
      <c r="K32" s="111">
        <f t="shared" si="2"/>
        <v>8.1154354031605632E-7</v>
      </c>
      <c r="L32" s="111">
        <f>E32/(Table1123456[[#This Row],[b (mm)]]*X32)</f>
        <v>8.8418173433201354E-4</v>
      </c>
      <c r="M32" s="111">
        <f>Table1123456[[#This Row],[M (KN.mm)]]/(Table1123456[[#This Row],[b (mm)]]*Table1123456[[#This Row],[d (mm)]])</f>
        <v>2.1803921568627458</v>
      </c>
      <c r="N32" s="111">
        <f>Table1123456[[#This Row],[M (KN.mm)]]/(Table1123456[[#This Row],[b (mm)]]*Table1123456[[#This Row],[h (mm)]])</f>
        <v>1.9609216115330164</v>
      </c>
      <c r="O32" s="111">
        <f>Table1123456[[#This Row],[M (KN.mm)]]/(Table1123456[[#This Row],[b (mm)]]*Table1123456[[#This Row],[h (mm)]]*Table1123456[[#This Row],[L(mm)]])</f>
        <v>3.9791428805458938E-4</v>
      </c>
      <c r="P32" s="111">
        <f>Table1123456[[#This Row],[M (KN.mm)]]/(Table1123456[[#This Row],[b (mm)]]*Table1123456[[#This Row],[d (mm)]]*Table1123456[[#This Row],[L(mm)]])</f>
        <v>4.424497071555896E-4</v>
      </c>
      <c r="Q32" s="111">
        <f>Table1123456[[#This Row],[M (KN.mm)]]/(Table1123456[[#This Row],[b (mm)]]*Table1123456[[#This Row],[h (mm)]]*Table1123456[[#This Row],[L(mm)]]*Table1123456[[#This Row],[fc (Mpa)]])</f>
        <v>5.3197097333501259E-6</v>
      </c>
      <c r="R32" s="111">
        <f>Table1123456[[#This Row],[M (KN.mm)]]/(Table1123456[[#This Row],[b (mm)]]*Table1123456[[#This Row],[h (mm)]]*Table1123456[[#This Row],[L(mm)]]/2)</f>
        <v>7.9582857610917875E-4</v>
      </c>
      <c r="S32" s="111">
        <f>Table1123456[[#This Row],[M (KN.mm)]]/(Table1123456[[#This Row],[a (mm)]]*Table1123456[[#This Row],[b (mm)]]*Table1123456[[#This Row],[h (mm)]]*Table1123456[[#This Row],[L(mm)]]/2)</f>
        <v>3.2272042826811789E-7</v>
      </c>
      <c r="T32" s="111">
        <f>G32/($AJ$5*AF32*0.001*Table1123456[[#This Row],[pho (%)]])</f>
        <v>8.2270294749652327E-7</v>
      </c>
      <c r="U32" s="111">
        <f>Table1123456[[#This Row],[M (KN.mm)]]/(Table1123456[[#This Row],[b (mm)]]*Table1123456[[#This Row],[d (mm)]]*Table1123456[[#This Row],[pho (%)]])</f>
        <v>1.6772247360482657</v>
      </c>
      <c r="V32" s="111">
        <f>E32/(Table1123456[[#This Row],[b (mm)]]*Y32*Table1123456[[#This Row],[fc (Mpa)]]*Table1123456[[#This Row],[a (mm)]])</f>
        <v>4.3109450844460188E-9</v>
      </c>
      <c r="W32" s="111">
        <f>3*Table1123456[[#This Row],[d (mm)]]</f>
        <v>2466</v>
      </c>
      <c r="X32" s="160">
        <v>822</v>
      </c>
      <c r="Y32" s="160">
        <v>914</v>
      </c>
      <c r="Z32" s="160">
        <v>306</v>
      </c>
      <c r="AA32" s="160">
        <v>74.8</v>
      </c>
      <c r="AB32" s="160">
        <v>3277</v>
      </c>
      <c r="AC32" s="160">
        <v>1.3</v>
      </c>
      <c r="AD32" s="160">
        <v>525</v>
      </c>
      <c r="AE32" s="111">
        <f>(1/3-0.21*(MIN(Table1123456[[#This Row],[b (mm)]],Y32)/MAX(Table1123456[[#This Row],[b (mm)]],Y32))*(MIN(Table1123456[[#This Row],[b (mm)]],Y32)^4/(12*MAX(Table1123456[[#This Row],[b (mm)]],Y32)^4)))*MAX(Table1123456[[#This Row],[b (mm)]],Y32)*MIN(Table1123456[[#This Row],[b (mm)]],Y32)^3</f>
        <v>8727569373.5573311</v>
      </c>
      <c r="AF32" s="111">
        <f>Table1123456[[#This Row],[b (mm)]]*Y32^3/12</f>
        <v>19470574572</v>
      </c>
      <c r="AG32" s="160">
        <v>4928</v>
      </c>
      <c r="AH32" s="139"/>
      <c r="AI32" s="139"/>
      <c r="AJ32" s="139"/>
      <c r="AK32" s="139"/>
      <c r="AL32" s="139"/>
      <c r="AM32" s="139"/>
      <c r="AN32" s="139"/>
      <c r="AO32" s="1"/>
      <c r="AP32" s="1"/>
    </row>
    <row r="33" spans="1:42" x14ac:dyDescent="0.25">
      <c r="A33" s="155" t="s">
        <v>97</v>
      </c>
      <c r="B33" s="163">
        <v>7</v>
      </c>
      <c r="C33" s="111">
        <v>38</v>
      </c>
      <c r="D33" s="111">
        <f>Table1123456[[#This Row],[a (mm)]]/Table1123456[[#This Row],[d (mm)]]</f>
        <v>3</v>
      </c>
      <c r="E33" s="160">
        <v>244.64000000000001</v>
      </c>
      <c r="F33" s="137">
        <f>Table1123456[[#This Row],[d (mm)]]</f>
        <v>822</v>
      </c>
      <c r="G33" s="111">
        <f t="shared" si="3"/>
        <v>603282.24</v>
      </c>
      <c r="H33" s="111">
        <f t="shared" si="0"/>
        <v>1.1764652149200282E-6</v>
      </c>
      <c r="I33" s="111">
        <f>G33/(Table1123456[[#This Row],[b (mm)]]*X33^2)</f>
        <v>2.9177997232956443E-3</v>
      </c>
      <c r="J33" s="111">
        <f t="shared" si="1"/>
        <v>0.42659226644579096</v>
      </c>
      <c r="K33" s="111">
        <f t="shared" si="2"/>
        <v>8.9269789434766184E-7</v>
      </c>
      <c r="L33" s="111">
        <f>E33/(Table1123456[[#This Row],[b (mm)]]*X33)</f>
        <v>9.7259990776521487E-4</v>
      </c>
      <c r="M33" s="111">
        <f>Table1123456[[#This Row],[M (KN.mm)]]/(Table1123456[[#This Row],[b (mm)]]*Table1123456[[#This Row],[d (mm)]])</f>
        <v>2.3984313725490196</v>
      </c>
      <c r="N33" s="111">
        <f>Table1123456[[#This Row],[M (KN.mm)]]/(Table1123456[[#This Row],[b (mm)]]*Table1123456[[#This Row],[h (mm)]])</f>
        <v>2.1570137726863172</v>
      </c>
      <c r="O33" s="111">
        <f>Table1123456[[#This Row],[M (KN.mm)]]/(Table1123456[[#This Row],[b (mm)]]*Table1123456[[#This Row],[h (mm)]]*Table1123456[[#This Row],[L(mm)]])</f>
        <v>4.3770571686004819E-4</v>
      </c>
      <c r="P33" s="111">
        <f>Table1123456[[#This Row],[M (KN.mm)]]/(Table1123456[[#This Row],[b (mm)]]*Table1123456[[#This Row],[d (mm)]]*Table1123456[[#This Row],[L(mm)]])</f>
        <v>4.8669467787114845E-4</v>
      </c>
      <c r="Q33" s="111">
        <f>Table1123456[[#This Row],[M (KN.mm)]]/(Table1123456[[#This Row],[b (mm)]]*Table1123456[[#This Row],[h (mm)]]*Table1123456[[#This Row],[L(mm)]]*Table1123456[[#This Row],[fc (Mpa)]])</f>
        <v>5.8516807066851365E-6</v>
      </c>
      <c r="R33" s="111">
        <f>Table1123456[[#This Row],[M (KN.mm)]]/(Table1123456[[#This Row],[b (mm)]]*Table1123456[[#This Row],[h (mm)]]*Table1123456[[#This Row],[L(mm)]]/2)</f>
        <v>8.7541143372009639E-4</v>
      </c>
      <c r="S33" s="111">
        <f>Table1123456[[#This Row],[M (KN.mm)]]/(Table1123456[[#This Row],[a (mm)]]*Table1123456[[#This Row],[b (mm)]]*Table1123456[[#This Row],[h (mm)]]*Table1123456[[#This Row],[L(mm)]]/2)</f>
        <v>3.5499247109492957E-7</v>
      </c>
      <c r="T33" s="111">
        <f>G33/($AJ$5*AF33*0.001*Table1123456[[#This Row],[pho (%)]])</f>
        <v>9.0497324224617545E-7</v>
      </c>
      <c r="U33" s="111">
        <f>Table1123456[[#This Row],[M (KN.mm)]]/(Table1123456[[#This Row],[b (mm)]]*Table1123456[[#This Row],[d (mm)]]*Table1123456[[#This Row],[pho (%)]])</f>
        <v>1.8449472096530919</v>
      </c>
      <c r="V33" s="111">
        <f>E33/(Table1123456[[#This Row],[b (mm)]]*Y33*Table1123456[[#This Row],[fc (Mpa)]]*Table1123456[[#This Row],[a (mm)]])</f>
        <v>4.7420395928906206E-9</v>
      </c>
      <c r="W33" s="111">
        <f>3*Table1123456[[#This Row],[d (mm)]]</f>
        <v>2466</v>
      </c>
      <c r="X33" s="160">
        <v>822</v>
      </c>
      <c r="Y33" s="160">
        <v>914</v>
      </c>
      <c r="Z33" s="160">
        <v>306</v>
      </c>
      <c r="AA33" s="160">
        <v>74.8</v>
      </c>
      <c r="AB33" s="160">
        <v>3277</v>
      </c>
      <c r="AC33" s="160">
        <v>1.3</v>
      </c>
      <c r="AD33" s="160">
        <v>525</v>
      </c>
      <c r="AE33" s="111">
        <f>(1/3-0.21*(MIN(Table1123456[[#This Row],[b (mm)]],Y33)/MAX(Table1123456[[#This Row],[b (mm)]],Y33))*(MIN(Table1123456[[#This Row],[b (mm)]],Y33)^4/(12*MAX(Table1123456[[#This Row],[b (mm)]],Y33)^4)))*MAX(Table1123456[[#This Row],[b (mm)]],Y33)*MIN(Table1123456[[#This Row],[b (mm)]],Y33)^3</f>
        <v>8727569373.5573311</v>
      </c>
      <c r="AF33" s="111">
        <f>Table1123456[[#This Row],[b (mm)]]*Y33^3/12</f>
        <v>19470574572</v>
      </c>
      <c r="AG33" s="160">
        <v>4928</v>
      </c>
      <c r="AH33" s="139"/>
      <c r="AI33" s="139"/>
      <c r="AJ33" s="139"/>
      <c r="AK33" s="139"/>
      <c r="AL33" s="139"/>
      <c r="AM33" s="139"/>
      <c r="AN33" s="139"/>
      <c r="AO33" s="1"/>
      <c r="AP33" s="1"/>
    </row>
    <row r="34" spans="1:42" x14ac:dyDescent="0.25">
      <c r="A34" s="155" t="s">
        <v>97</v>
      </c>
      <c r="B34" s="163">
        <v>8</v>
      </c>
      <c r="C34" s="111">
        <v>39</v>
      </c>
      <c r="D34" s="111">
        <f>Table1123456[[#This Row],[a (mm)]]/Table1123456[[#This Row],[d (mm)]]</f>
        <v>3</v>
      </c>
      <c r="E34" s="160">
        <v>266.88</v>
      </c>
      <c r="F34" s="137">
        <f>Table1123456[[#This Row],[d (mm)]]</f>
        <v>822</v>
      </c>
      <c r="G34" s="111">
        <f t="shared" si="3"/>
        <v>658126.07999999996</v>
      </c>
      <c r="H34" s="111">
        <f t="shared" si="0"/>
        <v>1.283416598094576E-6</v>
      </c>
      <c r="I34" s="111">
        <f>G34/(Table1123456[[#This Row],[b (mm)]]*X34^2)</f>
        <v>3.183054243595248E-3</v>
      </c>
      <c r="J34" s="111">
        <f t="shared" si="1"/>
        <v>0.46537338157722652</v>
      </c>
      <c r="K34" s="111">
        <f t="shared" si="2"/>
        <v>9.7385224837926737E-7</v>
      </c>
      <c r="L34" s="111">
        <f>E34/(Table1123456[[#This Row],[b (mm)]]*X34)</f>
        <v>1.061018081198416E-3</v>
      </c>
      <c r="M34" s="111">
        <f>Table1123456[[#This Row],[M (KN.mm)]]/(Table1123456[[#This Row],[b (mm)]]*Table1123456[[#This Row],[d (mm)]])</f>
        <v>2.6164705882352939</v>
      </c>
      <c r="N34" s="111">
        <f>Table1123456[[#This Row],[M (KN.mm)]]/(Table1123456[[#This Row],[b (mm)]]*Table1123456[[#This Row],[h (mm)]])</f>
        <v>2.3531059338396187</v>
      </c>
      <c r="O34" s="111">
        <f>Table1123456[[#This Row],[M (KN.mm)]]/(Table1123456[[#This Row],[b (mm)]]*Table1123456[[#This Row],[h (mm)]]*Table1123456[[#This Row],[L(mm)]])</f>
        <v>4.7749714566550707E-4</v>
      </c>
      <c r="P34" s="111">
        <f>Table1123456[[#This Row],[M (KN.mm)]]/(Table1123456[[#This Row],[b (mm)]]*Table1123456[[#This Row],[d (mm)]]*Table1123456[[#This Row],[L(mm)]])</f>
        <v>5.3093964858670737E-4</v>
      </c>
      <c r="Q34" s="111">
        <f>Table1123456[[#This Row],[M (KN.mm)]]/(Table1123456[[#This Row],[b (mm)]]*Table1123456[[#This Row],[h (mm)]]*Table1123456[[#This Row],[L(mm)]]*Table1123456[[#This Row],[fc (Mpa)]])</f>
        <v>6.3836516800201488E-6</v>
      </c>
      <c r="R34" s="111">
        <f>Table1123456[[#This Row],[M (KN.mm)]]/(Table1123456[[#This Row],[b (mm)]]*Table1123456[[#This Row],[h (mm)]]*Table1123456[[#This Row],[L(mm)]]/2)</f>
        <v>9.5499429133101413E-4</v>
      </c>
      <c r="S34" s="111">
        <f>Table1123456[[#This Row],[M (KN.mm)]]/(Table1123456[[#This Row],[a (mm)]]*Table1123456[[#This Row],[b (mm)]]*Table1123456[[#This Row],[h (mm)]]*Table1123456[[#This Row],[L(mm)]]/2)</f>
        <v>3.8726451392174136E-7</v>
      </c>
      <c r="T34" s="111">
        <f>G34/($AJ$5*AF34*0.001*Table1123456[[#This Row],[pho (%)]])</f>
        <v>9.8724353699582763E-7</v>
      </c>
      <c r="U34" s="111">
        <f>Table1123456[[#This Row],[M (KN.mm)]]/(Table1123456[[#This Row],[b (mm)]]*Table1123456[[#This Row],[d (mm)]]*Table1123456[[#This Row],[pho (%)]])</f>
        <v>2.0126696832579181</v>
      </c>
      <c r="V34" s="111">
        <f>E34/(Table1123456[[#This Row],[b (mm)]]*Y34*Table1123456[[#This Row],[fc (Mpa)]]*Table1123456[[#This Row],[a (mm)]])</f>
        <v>5.1731341013352217E-9</v>
      </c>
      <c r="W34" s="111">
        <f>3*Table1123456[[#This Row],[d (mm)]]</f>
        <v>2466</v>
      </c>
      <c r="X34" s="160">
        <v>822</v>
      </c>
      <c r="Y34" s="160">
        <v>914</v>
      </c>
      <c r="Z34" s="160">
        <v>306</v>
      </c>
      <c r="AA34" s="160">
        <v>74.8</v>
      </c>
      <c r="AB34" s="160">
        <v>3277</v>
      </c>
      <c r="AC34" s="160">
        <v>1.3</v>
      </c>
      <c r="AD34" s="160">
        <v>525</v>
      </c>
      <c r="AE34" s="111">
        <f>(1/3-0.21*(MIN(Table1123456[[#This Row],[b (mm)]],Y34)/MAX(Table1123456[[#This Row],[b (mm)]],Y34))*(MIN(Table1123456[[#This Row],[b (mm)]],Y34)^4/(12*MAX(Table1123456[[#This Row],[b (mm)]],Y34)^4)))*MAX(Table1123456[[#This Row],[b (mm)]],Y34)*MIN(Table1123456[[#This Row],[b (mm)]],Y34)^3</f>
        <v>8727569373.5573311</v>
      </c>
      <c r="AF34" s="111">
        <f>Table1123456[[#This Row],[b (mm)]]*Y34^3/12</f>
        <v>19470574572</v>
      </c>
      <c r="AG34" s="160">
        <v>4928</v>
      </c>
      <c r="AH34" s="139"/>
      <c r="AI34" s="139"/>
      <c r="AJ34" s="139"/>
      <c r="AK34" s="139"/>
      <c r="AL34" s="139"/>
      <c r="AM34" s="139"/>
      <c r="AN34" s="139"/>
      <c r="AO34" s="1"/>
      <c r="AP34" s="1"/>
    </row>
    <row r="35" spans="1:42" x14ac:dyDescent="0.25">
      <c r="A35" s="156" t="s">
        <v>98</v>
      </c>
      <c r="B35" s="164">
        <v>1</v>
      </c>
      <c r="C35" s="111">
        <v>42</v>
      </c>
      <c r="D35" s="111">
        <f>Table1123456[[#This Row],[a (mm)]]/Table1123456[[#This Row],[d (mm)]]</f>
        <v>2.99</v>
      </c>
      <c r="E35" s="160">
        <v>40.032000000000004</v>
      </c>
      <c r="F35" s="137">
        <f>Table1123456[[#This Row],[d (mm)]]</f>
        <v>233</v>
      </c>
      <c r="G35" s="111">
        <f t="shared" si="3"/>
        <v>27889.093440000004</v>
      </c>
      <c r="H35" s="111">
        <f t="shared" si="0"/>
        <v>2.2062636286406383E-6</v>
      </c>
      <c r="I35" s="111">
        <f>G35/(Table1123456[[#This Row],[b (mm)]]*X35^2)</f>
        <v>2.5306175606249607E-3</v>
      </c>
      <c r="J35" s="111">
        <f t="shared" si="1"/>
        <v>0.37998628571428578</v>
      </c>
      <c r="K35" s="111">
        <f t="shared" si="2"/>
        <v>1.5093821097209948E-6</v>
      </c>
      <c r="L35" s="111">
        <f>E35/(Table1123456[[#This Row],[b (mm)]]*X35)</f>
        <v>8.463603881688831E-4</v>
      </c>
      <c r="M35" s="111">
        <f>Table1123456[[#This Row],[M (KN.mm)]]/(Table1123456[[#This Row],[b (mm)]]*Table1123456[[#This Row],[d (mm)]])</f>
        <v>0.58963389162561586</v>
      </c>
      <c r="N35" s="111">
        <f>Table1123456[[#This Row],[M (KN.mm)]]/(Table1123456[[#This Row],[b (mm)]]*Table1123456[[#This Row],[h (mm)]])</f>
        <v>0.45044162868448684</v>
      </c>
      <c r="O35" s="111">
        <f>Table1123456[[#This Row],[M (KN.mm)]]/(Table1123456[[#This Row],[b (mm)]]*Table1123456[[#This Row],[h (mm)]]*Table1123456[[#This Row],[L(mm)]])</f>
        <v>3.2243495253005502E-4</v>
      </c>
      <c r="P35" s="111">
        <f>Table1123456[[#This Row],[M (KN.mm)]]/(Table1123456[[#This Row],[b (mm)]]*Table1123456[[#This Row],[d (mm)]]*Table1123456[[#This Row],[L(mm)]])</f>
        <v>4.2207150438483597E-4</v>
      </c>
      <c r="Q35" s="111">
        <f>Table1123456[[#This Row],[M (KN.mm)]]/(Table1123456[[#This Row],[b (mm)]]*Table1123456[[#This Row],[h (mm)]]*Table1123456[[#This Row],[L(mm)]]*Table1123456[[#This Row],[fc (Mpa)]])</f>
        <v>4.7002179669104237E-6</v>
      </c>
      <c r="R35" s="111">
        <f>Table1123456[[#This Row],[M (KN.mm)]]/(Table1123456[[#This Row],[b (mm)]]*Table1123456[[#This Row],[h (mm)]]*Table1123456[[#This Row],[L(mm)]]/2)</f>
        <v>6.4486990506011004E-4</v>
      </c>
      <c r="S35" s="111">
        <f>Table1123456[[#This Row],[M (KN.mm)]]/(Table1123456[[#This Row],[a (mm)]]*Table1123456[[#This Row],[b (mm)]]*Table1123456[[#This Row],[h (mm)]]*Table1123456[[#This Row],[L(mm)]]/2)</f>
        <v>9.2564615249703586E-7</v>
      </c>
      <c r="T35" s="111">
        <f>G35/($AJ$5*AF35*0.001*Table1123456[[#This Row],[pho (%)]])</f>
        <v>1.7510028798735224E-6</v>
      </c>
      <c r="U35" s="111">
        <f>Table1123456[[#This Row],[M (KN.mm)]]/(Table1123456[[#This Row],[b (mm)]]*Table1123456[[#This Row],[d (mm)]]*Table1123456[[#This Row],[pho (%)]])</f>
        <v>0.46796340605207609</v>
      </c>
      <c r="V35" s="111">
        <f>E35/(Table1123456[[#This Row],[b (mm)]]*Y35*Table1123456[[#This Row],[fc (Mpa)]]*Table1123456[[#This Row],[a (mm)]])</f>
        <v>1.3528828321601615E-8</v>
      </c>
      <c r="W35" s="111">
        <f>2.99*Table1123456[[#This Row],[d (mm)]]</f>
        <v>696.67000000000007</v>
      </c>
      <c r="X35" s="160">
        <v>233</v>
      </c>
      <c r="Y35" s="160">
        <v>305</v>
      </c>
      <c r="Z35" s="160">
        <v>203</v>
      </c>
      <c r="AA35" s="160">
        <v>68.599999999999994</v>
      </c>
      <c r="AB35" s="160">
        <v>600</v>
      </c>
      <c r="AC35" s="160">
        <v>1.26</v>
      </c>
      <c r="AD35" s="160">
        <v>525</v>
      </c>
      <c r="AE35" s="111">
        <f>(1/3-0.21*(MIN(Table1123456[[#This Row],[b (mm)]],Y35)/MAX(Table1123456[[#This Row],[b (mm)]],Y35))*(MIN(Table1123456[[#This Row],[b (mm)]],Y35)^4/(12*MAX(Table1123456[[#This Row],[b (mm)]],Y35)^4)))*MAX(Table1123456[[#This Row],[b (mm)]],Y35)*MIN(Table1123456[[#This Row],[b (mm)]],Y35)^3</f>
        <v>844653219.61076438</v>
      </c>
      <c r="AF35" s="111">
        <f>Table1123456[[#This Row],[b (mm)]]*Y35^3/12</f>
        <v>479970239.58333331</v>
      </c>
      <c r="AG35" s="160">
        <v>1397</v>
      </c>
      <c r="AH35" s="139"/>
      <c r="AI35" s="139"/>
      <c r="AJ35" s="139"/>
      <c r="AK35" s="139"/>
      <c r="AL35" s="139"/>
      <c r="AM35" s="139"/>
      <c r="AN35" s="139"/>
      <c r="AO35" s="1"/>
      <c r="AP35" s="1"/>
    </row>
    <row r="36" spans="1:42" x14ac:dyDescent="0.25">
      <c r="A36" s="156" t="s">
        <v>98</v>
      </c>
      <c r="B36" s="164">
        <v>2</v>
      </c>
      <c r="C36" s="111">
        <v>43</v>
      </c>
      <c r="D36" s="111">
        <f>Table1123456[[#This Row],[a (mm)]]/Table1123456[[#This Row],[d (mm)]]</f>
        <v>2.99</v>
      </c>
      <c r="E36" s="160">
        <v>44.480000000000004</v>
      </c>
      <c r="F36" s="137">
        <f>Table1123456[[#This Row],[d (mm)]]</f>
        <v>233</v>
      </c>
      <c r="G36" s="111">
        <f t="shared" si="3"/>
        <v>30987.881600000004</v>
      </c>
      <c r="H36" s="111">
        <f t="shared" si="0"/>
        <v>2.4514040318229313E-6</v>
      </c>
      <c r="I36" s="111">
        <f>G36/(Table1123456[[#This Row],[b (mm)]]*X36^2)</f>
        <v>2.8117972895832896E-3</v>
      </c>
      <c r="J36" s="111">
        <f t="shared" si="1"/>
        <v>0.42220698412698421</v>
      </c>
      <c r="K36" s="111">
        <f t="shared" si="2"/>
        <v>1.6770912330233276E-6</v>
      </c>
      <c r="L36" s="111">
        <f>E36/(Table1123456[[#This Row],[b (mm)]]*X36)</f>
        <v>9.4040043129875906E-4</v>
      </c>
      <c r="M36" s="111">
        <f>Table1123456[[#This Row],[M (KN.mm)]]/(Table1123456[[#This Row],[b (mm)]]*Table1123456[[#This Row],[d (mm)]])</f>
        <v>0.65514876847290648</v>
      </c>
      <c r="N36" s="111">
        <f>Table1123456[[#This Row],[M (KN.mm)]]/(Table1123456[[#This Row],[b (mm)]]*Table1123456[[#This Row],[h (mm)]])</f>
        <v>0.50049069853831873</v>
      </c>
      <c r="O36" s="111">
        <f>Table1123456[[#This Row],[M (KN.mm)]]/(Table1123456[[#This Row],[b (mm)]]*Table1123456[[#This Row],[h (mm)]]*Table1123456[[#This Row],[L(mm)]])</f>
        <v>3.5826105836672781E-4</v>
      </c>
      <c r="P36" s="111">
        <f>Table1123456[[#This Row],[M (KN.mm)]]/(Table1123456[[#This Row],[b (mm)]]*Table1123456[[#This Row],[d (mm)]]*Table1123456[[#This Row],[L(mm)]])</f>
        <v>4.6896833820537332E-4</v>
      </c>
      <c r="Q36" s="111">
        <f>Table1123456[[#This Row],[M (KN.mm)]]/(Table1123456[[#This Row],[b (mm)]]*Table1123456[[#This Row],[h (mm)]]*Table1123456[[#This Row],[L(mm)]]*Table1123456[[#This Row],[fc (Mpa)]])</f>
        <v>5.2224644076782486E-6</v>
      </c>
      <c r="R36" s="111">
        <f>Table1123456[[#This Row],[M (KN.mm)]]/(Table1123456[[#This Row],[b (mm)]]*Table1123456[[#This Row],[h (mm)]]*Table1123456[[#This Row],[L(mm)]]/2)</f>
        <v>7.1652211673345562E-4</v>
      </c>
      <c r="S36" s="111">
        <f>Table1123456[[#This Row],[M (KN.mm)]]/(Table1123456[[#This Row],[a (mm)]]*Table1123456[[#This Row],[b (mm)]]*Table1123456[[#This Row],[h (mm)]]*Table1123456[[#This Row],[L(mm)]]/2)</f>
        <v>1.0284957249967066E-6</v>
      </c>
      <c r="T36" s="111">
        <f>G36/($AJ$5*AF36*0.001*Table1123456[[#This Row],[pho (%)]])</f>
        <v>1.945558755415025E-6</v>
      </c>
      <c r="U36" s="111">
        <f>Table1123456[[#This Row],[M (KN.mm)]]/(Table1123456[[#This Row],[b (mm)]]*Table1123456[[#This Row],[d (mm)]]*Table1123456[[#This Row],[pho (%)]])</f>
        <v>0.51995934005786226</v>
      </c>
      <c r="V36" s="111">
        <f>E36/(Table1123456[[#This Row],[b (mm)]]*Y36*Table1123456[[#This Row],[fc (Mpa)]]*Table1123456[[#This Row],[a (mm)]])</f>
        <v>1.5032031468446236E-8</v>
      </c>
      <c r="W36" s="111">
        <f>2.99*Table1123456[[#This Row],[d (mm)]]</f>
        <v>696.67000000000007</v>
      </c>
      <c r="X36" s="160">
        <v>233</v>
      </c>
      <c r="Y36" s="160">
        <v>305</v>
      </c>
      <c r="Z36" s="160">
        <v>203</v>
      </c>
      <c r="AA36" s="160">
        <v>68.599999999999994</v>
      </c>
      <c r="AB36" s="160">
        <v>600</v>
      </c>
      <c r="AC36" s="160">
        <v>1.26</v>
      </c>
      <c r="AD36" s="160">
        <v>525</v>
      </c>
      <c r="AE36" s="111">
        <f>(1/3-0.21*(MIN(Table1123456[[#This Row],[b (mm)]],Y36)/MAX(Table1123456[[#This Row],[b (mm)]],Y36))*(MIN(Table1123456[[#This Row],[b (mm)]],Y36)^4/(12*MAX(Table1123456[[#This Row],[b (mm)]],Y36)^4)))*MAX(Table1123456[[#This Row],[b (mm)]],Y36)*MIN(Table1123456[[#This Row],[b (mm)]],Y36)^3</f>
        <v>844653219.61076438</v>
      </c>
      <c r="AF36" s="111">
        <f>Table1123456[[#This Row],[b (mm)]]*Y36^3/12</f>
        <v>479970239.58333331</v>
      </c>
      <c r="AG36" s="160">
        <v>1397</v>
      </c>
      <c r="AH36" s="139"/>
      <c r="AI36" s="139"/>
      <c r="AJ36" s="139"/>
      <c r="AK36" s="139"/>
      <c r="AL36" s="139"/>
      <c r="AM36" s="139"/>
      <c r="AN36" s="139"/>
      <c r="AO36" s="1"/>
      <c r="AP36" s="1"/>
    </row>
    <row r="37" spans="1:42" x14ac:dyDescent="0.25">
      <c r="A37" s="156" t="s">
        <v>98</v>
      </c>
      <c r="B37" s="164">
        <v>3</v>
      </c>
      <c r="C37" s="111">
        <v>44</v>
      </c>
      <c r="D37" s="111">
        <f>Table1123456[[#This Row],[a (mm)]]/Table1123456[[#This Row],[d (mm)]]</f>
        <v>2.99</v>
      </c>
      <c r="E37" s="160">
        <v>53.376000000000005</v>
      </c>
      <c r="F37" s="137">
        <f>Table1123456[[#This Row],[d (mm)]]</f>
        <v>233</v>
      </c>
      <c r="G37" s="111">
        <f t="shared" si="3"/>
        <v>37185.457920000008</v>
      </c>
      <c r="H37" s="111">
        <f t="shared" si="0"/>
        <v>2.9416848381875178E-6</v>
      </c>
      <c r="I37" s="111">
        <f>G37/(Table1123456[[#This Row],[b (mm)]]*X37^2)</f>
        <v>3.3741567474999479E-3</v>
      </c>
      <c r="J37" s="111">
        <f t="shared" si="1"/>
        <v>0.50664838095238107</v>
      </c>
      <c r="K37" s="111">
        <f t="shared" si="2"/>
        <v>2.0125094796279932E-6</v>
      </c>
      <c r="L37" s="111">
        <f>E37/(Table1123456[[#This Row],[b (mm)]]*X37)</f>
        <v>1.1284805175585109E-3</v>
      </c>
      <c r="M37" s="111">
        <f>Table1123456[[#This Row],[M (KN.mm)]]/(Table1123456[[#This Row],[b (mm)]]*Table1123456[[#This Row],[d (mm)]])</f>
        <v>0.78617852216748785</v>
      </c>
      <c r="N37" s="111">
        <f>Table1123456[[#This Row],[M (KN.mm)]]/(Table1123456[[#This Row],[b (mm)]]*Table1123456[[#This Row],[h (mm)]])</f>
        <v>0.60058883824598253</v>
      </c>
      <c r="O37" s="111">
        <f>Table1123456[[#This Row],[M (KN.mm)]]/(Table1123456[[#This Row],[b (mm)]]*Table1123456[[#This Row],[h (mm)]]*Table1123456[[#This Row],[L(mm)]])</f>
        <v>4.2991327004007339E-4</v>
      </c>
      <c r="P37" s="111">
        <f>Table1123456[[#This Row],[M (KN.mm)]]/(Table1123456[[#This Row],[b (mm)]]*Table1123456[[#This Row],[d (mm)]]*Table1123456[[#This Row],[L(mm)]])</f>
        <v>5.6276200584644796E-4</v>
      </c>
      <c r="Q37" s="111">
        <f>Table1123456[[#This Row],[M (KN.mm)]]/(Table1123456[[#This Row],[b (mm)]]*Table1123456[[#This Row],[h (mm)]]*Table1123456[[#This Row],[L(mm)]]*Table1123456[[#This Row],[fc (Mpa)]])</f>
        <v>6.2669572892138985E-6</v>
      </c>
      <c r="R37" s="111">
        <f>Table1123456[[#This Row],[M (KN.mm)]]/(Table1123456[[#This Row],[b (mm)]]*Table1123456[[#This Row],[h (mm)]]*Table1123456[[#This Row],[L(mm)]]/2)</f>
        <v>8.5982654008014679E-4</v>
      </c>
      <c r="S37" s="111">
        <f>Table1123456[[#This Row],[M (KN.mm)]]/(Table1123456[[#This Row],[a (mm)]]*Table1123456[[#This Row],[b (mm)]]*Table1123456[[#This Row],[h (mm)]]*Table1123456[[#This Row],[L(mm)]]/2)</f>
        <v>1.234194869996048E-6</v>
      </c>
      <c r="T37" s="111">
        <f>G37/($AJ$5*AF37*0.001*Table1123456[[#This Row],[pho (%)]])</f>
        <v>2.3346705064980302E-6</v>
      </c>
      <c r="U37" s="165">
        <f>Table1123456[[#This Row],[M (KN.mm)]]/(Table1123456[[#This Row],[b (mm)]]*Table1123456[[#This Row],[d (mm)]]*Table1123456[[#This Row],[pho (%)]])</f>
        <v>0.62395120806943483</v>
      </c>
      <c r="V37" s="111">
        <f>E37/(Table1123456[[#This Row],[b (mm)]]*Y37*Table1123456[[#This Row],[fc (Mpa)]]*Table1123456[[#This Row],[a (mm)]])</f>
        <v>1.8038437762135486E-8</v>
      </c>
      <c r="W37" s="111">
        <f>2.99*Table1123456[[#This Row],[d (mm)]]</f>
        <v>696.67000000000007</v>
      </c>
      <c r="X37" s="160">
        <v>233</v>
      </c>
      <c r="Y37" s="160">
        <v>305</v>
      </c>
      <c r="Z37" s="160">
        <v>203</v>
      </c>
      <c r="AA37" s="160">
        <v>68.599999999999994</v>
      </c>
      <c r="AB37" s="160">
        <v>600</v>
      </c>
      <c r="AC37" s="160">
        <v>1.26</v>
      </c>
      <c r="AD37" s="160">
        <v>525</v>
      </c>
      <c r="AE37" s="111">
        <f>(1/3-0.21*(MIN(Table1123456[[#This Row],[b (mm)]],Y37)/MAX(Table1123456[[#This Row],[b (mm)]],Y37))*(MIN(Table1123456[[#This Row],[b (mm)]],Y37)^4/(12*MAX(Table1123456[[#This Row],[b (mm)]],Y37)^4)))*MAX(Table1123456[[#This Row],[b (mm)]],Y37)*MIN(Table1123456[[#This Row],[b (mm)]],Y37)^3</f>
        <v>844653219.61076438</v>
      </c>
      <c r="AF37" s="111">
        <f>Table1123456[[#This Row],[b (mm)]]*Y37^3/12</f>
        <v>479970239.58333331</v>
      </c>
      <c r="AG37" s="160">
        <v>1397</v>
      </c>
      <c r="AH37" s="139"/>
      <c r="AI37" s="139"/>
      <c r="AJ37" s="139"/>
      <c r="AK37" s="139"/>
      <c r="AL37" s="139"/>
      <c r="AM37" s="139"/>
      <c r="AN37" s="139"/>
      <c r="AO37" s="1"/>
      <c r="AP37" s="1"/>
    </row>
    <row r="38" spans="1:42" x14ac:dyDescent="0.25">
      <c r="A38" s="156" t="s">
        <v>98</v>
      </c>
      <c r="B38" s="164">
        <v>4</v>
      </c>
      <c r="C38" s="111">
        <v>45</v>
      </c>
      <c r="D38" s="111">
        <f>Table1123456[[#This Row],[a (mm)]]/Table1123456[[#This Row],[d (mm)]]</f>
        <v>2.99</v>
      </c>
      <c r="E38" s="160">
        <v>62.272000000000006</v>
      </c>
      <c r="F38" s="137">
        <f>Table1123456[[#This Row],[d (mm)]]</f>
        <v>233</v>
      </c>
      <c r="G38" s="111">
        <f t="shared" si="3"/>
        <v>43383.034240000008</v>
      </c>
      <c r="H38" s="111">
        <f t="shared" si="0"/>
        <v>3.4319656445521039E-6</v>
      </c>
      <c r="I38" s="111">
        <f>G38/(Table1123456[[#This Row],[b (mm)]]*X38^2)</f>
        <v>3.9365162054166057E-3</v>
      </c>
      <c r="J38" s="111">
        <f t="shared" si="1"/>
        <v>0.59108977777777794</v>
      </c>
      <c r="K38" s="111">
        <f t="shared" si="2"/>
        <v>2.3479277262326588E-6</v>
      </c>
      <c r="L38" s="111">
        <f>E38/(Table1123456[[#This Row],[b (mm)]]*X38)</f>
        <v>1.3165606038182626E-3</v>
      </c>
      <c r="M38" s="111">
        <f>Table1123456[[#This Row],[M (KN.mm)]]/(Table1123456[[#This Row],[b (mm)]]*Table1123456[[#This Row],[d (mm)]])</f>
        <v>0.9172082758620691</v>
      </c>
      <c r="N38" s="111">
        <f>Table1123456[[#This Row],[M (KN.mm)]]/(Table1123456[[#This Row],[b (mm)]]*Table1123456[[#This Row],[h (mm)]])</f>
        <v>0.70068697795364621</v>
      </c>
      <c r="O38" s="111">
        <f>Table1123456[[#This Row],[M (KN.mm)]]/(Table1123456[[#This Row],[b (mm)]]*Table1123456[[#This Row],[h (mm)]]*Table1123456[[#This Row],[L(mm)]])</f>
        <v>5.0156548171341898E-4</v>
      </c>
      <c r="P38" s="111">
        <f>Table1123456[[#This Row],[M (KN.mm)]]/(Table1123456[[#This Row],[b (mm)]]*Table1123456[[#This Row],[d (mm)]]*Table1123456[[#This Row],[L(mm)]])</f>
        <v>6.5655567348752266E-4</v>
      </c>
      <c r="Q38" s="111">
        <f>Table1123456[[#This Row],[M (KN.mm)]]/(Table1123456[[#This Row],[b (mm)]]*Table1123456[[#This Row],[h (mm)]]*Table1123456[[#This Row],[L(mm)]]*Table1123456[[#This Row],[fc (Mpa)]])</f>
        <v>7.3114501707495484E-6</v>
      </c>
      <c r="R38" s="111">
        <f>Table1123456[[#This Row],[M (KN.mm)]]/(Table1123456[[#This Row],[b (mm)]]*Table1123456[[#This Row],[h (mm)]]*Table1123456[[#This Row],[L(mm)]]/2)</f>
        <v>1.003130963426838E-3</v>
      </c>
      <c r="S38" s="111">
        <f>Table1123456[[#This Row],[M (KN.mm)]]/(Table1123456[[#This Row],[a (mm)]]*Table1123456[[#This Row],[b (mm)]]*Table1123456[[#This Row],[h (mm)]]*Table1123456[[#This Row],[L(mm)]]/2)</f>
        <v>1.4398940149953891E-6</v>
      </c>
      <c r="T38" s="111">
        <f>G38/($AJ$5*AF38*0.001*Table1123456[[#This Row],[pho (%)]])</f>
        <v>2.7237822575810349E-6</v>
      </c>
      <c r="U38" s="111">
        <f>Table1123456[[#This Row],[M (KN.mm)]]/(Table1123456[[#This Row],[b (mm)]]*Table1123456[[#This Row],[d (mm)]]*Table1123456[[#This Row],[pho (%)]])</f>
        <v>0.72794307608100728</v>
      </c>
      <c r="V38" s="111">
        <f>E38/(Table1123456[[#This Row],[b (mm)]]*Y38*Table1123456[[#This Row],[fc (Mpa)]]*Table1123456[[#This Row],[a (mm)]])</f>
        <v>2.1044844055824733E-8</v>
      </c>
      <c r="W38" s="111">
        <f>2.99*Table1123456[[#This Row],[d (mm)]]</f>
        <v>696.67000000000007</v>
      </c>
      <c r="X38" s="160">
        <v>233</v>
      </c>
      <c r="Y38" s="160">
        <v>305</v>
      </c>
      <c r="Z38" s="160">
        <v>203</v>
      </c>
      <c r="AA38" s="160">
        <v>68.599999999999994</v>
      </c>
      <c r="AB38" s="160">
        <v>600</v>
      </c>
      <c r="AC38" s="160">
        <v>1.26</v>
      </c>
      <c r="AD38" s="160">
        <v>525</v>
      </c>
      <c r="AE38" s="111">
        <f>(1/3-0.21*(MIN(Table1123456[[#This Row],[b (mm)]],Y38)/MAX(Table1123456[[#This Row],[b (mm)]],Y38))*(MIN(Table1123456[[#This Row],[b (mm)]],Y38)^4/(12*MAX(Table1123456[[#This Row],[b (mm)]],Y38)^4)))*MAX(Table1123456[[#This Row],[b (mm)]],Y38)*MIN(Table1123456[[#This Row],[b (mm)]],Y38)^3</f>
        <v>844653219.61076438</v>
      </c>
      <c r="AF38" s="111">
        <f>Table1123456[[#This Row],[b (mm)]]*Y38^3/12</f>
        <v>479970239.58333331</v>
      </c>
      <c r="AG38" s="160">
        <v>1397</v>
      </c>
      <c r="AH38" s="139"/>
      <c r="AI38" s="139"/>
      <c r="AJ38" s="139"/>
      <c r="AK38" s="139"/>
      <c r="AL38" s="139"/>
      <c r="AM38" s="139"/>
      <c r="AN38" s="139"/>
      <c r="AO38" s="1"/>
      <c r="AP38" s="1"/>
    </row>
    <row r="39" spans="1:42" x14ac:dyDescent="0.25">
      <c r="A39" s="156" t="s">
        <v>98</v>
      </c>
      <c r="B39" s="164">
        <v>5</v>
      </c>
      <c r="C39" s="111">
        <v>46</v>
      </c>
      <c r="D39" s="111">
        <f>Table1123456[[#This Row],[a (mm)]]/Table1123456[[#This Row],[d (mm)]]</f>
        <v>2.99</v>
      </c>
      <c r="E39" s="160">
        <v>71.168000000000006</v>
      </c>
      <c r="F39" s="137">
        <f>Table1123456[[#This Row],[d (mm)]]</f>
        <v>233</v>
      </c>
      <c r="G39" s="111">
        <f t="shared" si="3"/>
        <v>49580.610560000008</v>
      </c>
      <c r="H39" s="111">
        <f t="shared" si="0"/>
        <v>3.9222464509166904E-6</v>
      </c>
      <c r="I39" s="111">
        <f>G39/(Table1123456[[#This Row],[b (mm)]]*X39^2)</f>
        <v>4.4988756633332636E-3</v>
      </c>
      <c r="J39" s="111">
        <f t="shared" si="1"/>
        <v>0.67553117460317469</v>
      </c>
      <c r="K39" s="111">
        <f t="shared" si="2"/>
        <v>2.6833459728373244E-6</v>
      </c>
      <c r="L39" s="111">
        <f>E39/(Table1123456[[#This Row],[b (mm)]]*X39)</f>
        <v>1.5046406900780145E-3</v>
      </c>
      <c r="M39" s="111">
        <f>Table1123456[[#This Row],[M (KN.mm)]]/(Table1123456[[#This Row],[b (mm)]]*Table1123456[[#This Row],[d (mm)]])</f>
        <v>1.0482380295566505</v>
      </c>
      <c r="N39" s="111">
        <f>Table1123456[[#This Row],[M (KN.mm)]]/(Table1123456[[#This Row],[b (mm)]]*Table1123456[[#This Row],[h (mm)]])</f>
        <v>0.80078511766131</v>
      </c>
      <c r="O39" s="111">
        <f>Table1123456[[#This Row],[M (KN.mm)]]/(Table1123456[[#This Row],[b (mm)]]*Table1123456[[#This Row],[h (mm)]]*Table1123456[[#This Row],[L(mm)]])</f>
        <v>5.7321769338676445E-4</v>
      </c>
      <c r="P39" s="111">
        <f>Table1123456[[#This Row],[M (KN.mm)]]/(Table1123456[[#This Row],[b (mm)]]*Table1123456[[#This Row],[d (mm)]]*Table1123456[[#This Row],[L(mm)]])</f>
        <v>7.5034934112859725E-4</v>
      </c>
      <c r="Q39" s="111">
        <f>Table1123456[[#This Row],[M (KN.mm)]]/(Table1123456[[#This Row],[b (mm)]]*Table1123456[[#This Row],[h (mm)]]*Table1123456[[#This Row],[L(mm)]]*Table1123456[[#This Row],[fc (Mpa)]])</f>
        <v>8.3559430522851975E-6</v>
      </c>
      <c r="R39" s="111">
        <f>Table1123456[[#This Row],[M (KN.mm)]]/(Table1123456[[#This Row],[b (mm)]]*Table1123456[[#This Row],[h (mm)]]*Table1123456[[#This Row],[L(mm)]]/2)</f>
        <v>1.1464353867735289E-3</v>
      </c>
      <c r="S39" s="111">
        <f>Table1123456[[#This Row],[M (KN.mm)]]/(Table1123456[[#This Row],[a (mm)]]*Table1123456[[#This Row],[b (mm)]]*Table1123456[[#This Row],[h (mm)]]*Table1123456[[#This Row],[L(mm)]]/2)</f>
        <v>1.6455931599947305E-6</v>
      </c>
      <c r="T39" s="111">
        <f>G39/($AJ$5*AF39*0.001*Table1123456[[#This Row],[pho (%)]])</f>
        <v>3.1128940086640397E-6</v>
      </c>
      <c r="U39" s="111">
        <f>Table1123456[[#This Row],[M (KN.mm)]]/(Table1123456[[#This Row],[b (mm)]]*Table1123456[[#This Row],[d (mm)]]*Table1123456[[#This Row],[pho (%)]])</f>
        <v>0.83193494409257973</v>
      </c>
      <c r="V39" s="111">
        <f>E39/(Table1123456[[#This Row],[b (mm)]]*Y39*Table1123456[[#This Row],[fc (Mpa)]]*Table1123456[[#This Row],[a (mm)]])</f>
        <v>2.4051250349513979E-8</v>
      </c>
      <c r="W39" s="111">
        <f>2.99*Table1123456[[#This Row],[d (mm)]]</f>
        <v>696.67000000000007</v>
      </c>
      <c r="X39" s="160">
        <v>233</v>
      </c>
      <c r="Y39" s="160">
        <v>305</v>
      </c>
      <c r="Z39" s="160">
        <v>203</v>
      </c>
      <c r="AA39" s="160">
        <v>68.599999999999994</v>
      </c>
      <c r="AB39" s="160">
        <v>600</v>
      </c>
      <c r="AC39" s="160">
        <v>1.26</v>
      </c>
      <c r="AD39" s="160">
        <v>525</v>
      </c>
      <c r="AE39" s="111">
        <f>(1/3-0.21*(MIN(Table1123456[[#This Row],[b (mm)]],Y39)/MAX(Table1123456[[#This Row],[b (mm)]],Y39))*(MIN(Table1123456[[#This Row],[b (mm)]],Y39)^4/(12*MAX(Table1123456[[#This Row],[b (mm)]],Y39)^4)))*MAX(Table1123456[[#This Row],[b (mm)]],Y39)*MIN(Table1123456[[#This Row],[b (mm)]],Y39)^3</f>
        <v>844653219.61076438</v>
      </c>
      <c r="AF39" s="111">
        <f>Table1123456[[#This Row],[b (mm)]]*Y39^3/12</f>
        <v>479970239.58333331</v>
      </c>
      <c r="AG39" s="160">
        <v>1397</v>
      </c>
      <c r="AH39" s="139"/>
      <c r="AI39" s="139"/>
      <c r="AJ39" s="139"/>
      <c r="AK39" s="139"/>
      <c r="AL39" s="139"/>
      <c r="AM39" s="139"/>
      <c r="AN39" s="139"/>
      <c r="AO39" s="1"/>
      <c r="AP39" s="1"/>
    </row>
    <row r="40" spans="1:42" x14ac:dyDescent="0.25">
      <c r="A40" s="156" t="s">
        <v>98</v>
      </c>
      <c r="B40" s="164">
        <v>6</v>
      </c>
      <c r="C40" s="111">
        <v>47</v>
      </c>
      <c r="D40" s="111">
        <f>Table1123456[[#This Row],[a (mm)]]/Table1123456[[#This Row],[d (mm)]]</f>
        <v>2.99</v>
      </c>
      <c r="E40" s="160">
        <v>80.064000000000007</v>
      </c>
      <c r="F40" s="137">
        <f>Table1123456[[#This Row],[d (mm)]]</f>
        <v>233</v>
      </c>
      <c r="G40" s="111">
        <f t="shared" si="3"/>
        <v>55778.186880000008</v>
      </c>
      <c r="H40" s="111">
        <f t="shared" si="0"/>
        <v>4.4125272572812765E-6</v>
      </c>
      <c r="I40" s="111">
        <f>G40/(Table1123456[[#This Row],[b (mm)]]*X40^2)</f>
        <v>5.0612351212499214E-3</v>
      </c>
      <c r="J40" s="111">
        <f t="shared" si="1"/>
        <v>0.75997257142857155</v>
      </c>
      <c r="K40" s="111">
        <f t="shared" si="2"/>
        <v>3.0187642194419895E-6</v>
      </c>
      <c r="L40" s="111">
        <f>E40/(Table1123456[[#This Row],[b (mm)]]*X40)</f>
        <v>1.6927207763377662E-3</v>
      </c>
      <c r="M40" s="111">
        <f>Table1123456[[#This Row],[M (KN.mm)]]/(Table1123456[[#This Row],[b (mm)]]*Table1123456[[#This Row],[d (mm)]])</f>
        <v>1.1792677832512317</v>
      </c>
      <c r="N40" s="111">
        <f>Table1123456[[#This Row],[M (KN.mm)]]/(Table1123456[[#This Row],[b (mm)]]*Table1123456[[#This Row],[h (mm)]])</f>
        <v>0.90088325736897368</v>
      </c>
      <c r="O40" s="111">
        <f>Table1123456[[#This Row],[M (KN.mm)]]/(Table1123456[[#This Row],[b (mm)]]*Table1123456[[#This Row],[h (mm)]]*Table1123456[[#This Row],[L(mm)]])</f>
        <v>6.4486990506011004E-4</v>
      </c>
      <c r="P40" s="111">
        <f>Table1123456[[#This Row],[M (KN.mm)]]/(Table1123456[[#This Row],[b (mm)]]*Table1123456[[#This Row],[d (mm)]]*Table1123456[[#This Row],[L(mm)]])</f>
        <v>8.4414300876967194E-4</v>
      </c>
      <c r="Q40" s="111">
        <f>Table1123456[[#This Row],[M (KN.mm)]]/(Table1123456[[#This Row],[b (mm)]]*Table1123456[[#This Row],[h (mm)]]*Table1123456[[#This Row],[L(mm)]]*Table1123456[[#This Row],[fc (Mpa)]])</f>
        <v>9.4004359338208474E-6</v>
      </c>
      <c r="R40" s="111">
        <f>Table1123456[[#This Row],[M (KN.mm)]]/(Table1123456[[#This Row],[b (mm)]]*Table1123456[[#This Row],[h (mm)]]*Table1123456[[#This Row],[L(mm)]]/2)</f>
        <v>1.2897398101202201E-3</v>
      </c>
      <c r="S40" s="111">
        <f>Table1123456[[#This Row],[M (KN.mm)]]/(Table1123456[[#This Row],[a (mm)]]*Table1123456[[#This Row],[b (mm)]]*Table1123456[[#This Row],[h (mm)]]*Table1123456[[#This Row],[L(mm)]]/2)</f>
        <v>1.8512923049940717E-6</v>
      </c>
      <c r="T40" s="111">
        <f>G40/($AJ$5*AF40*0.001*Table1123456[[#This Row],[pho (%)]])</f>
        <v>3.5020057597470449E-6</v>
      </c>
      <c r="U40" s="111">
        <f>Table1123456[[#This Row],[M (KN.mm)]]/(Table1123456[[#This Row],[b (mm)]]*Table1123456[[#This Row],[d (mm)]]*Table1123456[[#This Row],[pho (%)]])</f>
        <v>0.93592681210415218</v>
      </c>
      <c r="V40" s="111">
        <f>E40/(Table1123456[[#This Row],[b (mm)]]*Y40*Table1123456[[#This Row],[fc (Mpa)]]*Table1123456[[#This Row],[a (mm)]])</f>
        <v>2.7057656643203229E-8</v>
      </c>
      <c r="W40" s="111">
        <f>2.99*Table1123456[[#This Row],[d (mm)]]</f>
        <v>696.67000000000007</v>
      </c>
      <c r="X40" s="160">
        <v>233</v>
      </c>
      <c r="Y40" s="160">
        <v>305</v>
      </c>
      <c r="Z40" s="160">
        <v>203</v>
      </c>
      <c r="AA40" s="160">
        <v>68.599999999999994</v>
      </c>
      <c r="AB40" s="160">
        <v>600</v>
      </c>
      <c r="AC40" s="160">
        <v>1.26</v>
      </c>
      <c r="AD40" s="160">
        <v>525</v>
      </c>
      <c r="AE40" s="111">
        <f>(1/3-0.21*(MIN(Table1123456[[#This Row],[b (mm)]],Y40)/MAX(Table1123456[[#This Row],[b (mm)]],Y40))*(MIN(Table1123456[[#This Row],[b (mm)]],Y40)^4/(12*MAX(Table1123456[[#This Row],[b (mm)]],Y40)^4)))*MAX(Table1123456[[#This Row],[b (mm)]],Y40)*MIN(Table1123456[[#This Row],[b (mm)]],Y40)^3</f>
        <v>844653219.61076438</v>
      </c>
      <c r="AF40" s="111">
        <f>Table1123456[[#This Row],[b (mm)]]*Y40^3/12</f>
        <v>479970239.58333331</v>
      </c>
      <c r="AG40" s="160">
        <v>1397</v>
      </c>
      <c r="AH40" s="139"/>
      <c r="AI40" s="139"/>
      <c r="AJ40" s="139"/>
      <c r="AK40" s="139"/>
      <c r="AL40" s="139"/>
      <c r="AM40" s="139"/>
      <c r="AN40" s="139"/>
      <c r="AO40" s="1"/>
      <c r="AP40" s="1"/>
    </row>
    <row r="41" spans="1:42" x14ac:dyDescent="0.25">
      <c r="A41" s="156" t="s">
        <v>98</v>
      </c>
      <c r="B41" s="164">
        <v>7</v>
      </c>
      <c r="C41" s="111">
        <v>48</v>
      </c>
      <c r="D41" s="111">
        <f>Table1123456[[#This Row],[a (mm)]]/Table1123456[[#This Row],[d (mm)]]</f>
        <v>2.99</v>
      </c>
      <c r="E41" s="160">
        <v>88.960000000000008</v>
      </c>
      <c r="F41" s="137">
        <f>Table1123456[[#This Row],[d (mm)]]</f>
        <v>233</v>
      </c>
      <c r="G41" s="111">
        <f t="shared" si="3"/>
        <v>61975.763200000009</v>
      </c>
      <c r="H41" s="111">
        <f t="shared" si="0"/>
        <v>4.9028080636458626E-6</v>
      </c>
      <c r="I41" s="111">
        <f>G41/(Table1123456[[#This Row],[b (mm)]]*X41^2)</f>
        <v>5.6235945791665793E-3</v>
      </c>
      <c r="J41" s="111">
        <f t="shared" si="1"/>
        <v>0.84441396825396842</v>
      </c>
      <c r="K41" s="111">
        <f t="shared" si="2"/>
        <v>3.3541824660466551E-6</v>
      </c>
      <c r="L41" s="111">
        <f>E41/(Table1123456[[#This Row],[b (mm)]]*X41)</f>
        <v>1.8808008625975181E-3</v>
      </c>
      <c r="M41" s="111">
        <f>Table1123456[[#This Row],[M (KN.mm)]]/(Table1123456[[#This Row],[b (mm)]]*Table1123456[[#This Row],[d (mm)]])</f>
        <v>1.310297536945813</v>
      </c>
      <c r="N41" s="111">
        <f>Table1123456[[#This Row],[M (KN.mm)]]/(Table1123456[[#This Row],[b (mm)]]*Table1123456[[#This Row],[h (mm)]])</f>
        <v>1.0009813970766375</v>
      </c>
      <c r="O41" s="111">
        <f>Table1123456[[#This Row],[M (KN.mm)]]/(Table1123456[[#This Row],[b (mm)]]*Table1123456[[#This Row],[h (mm)]]*Table1123456[[#This Row],[L(mm)]])</f>
        <v>7.1652211673345562E-4</v>
      </c>
      <c r="P41" s="111">
        <f>Table1123456[[#This Row],[M (KN.mm)]]/(Table1123456[[#This Row],[b (mm)]]*Table1123456[[#This Row],[d (mm)]]*Table1123456[[#This Row],[L(mm)]])</f>
        <v>9.3793667641074664E-4</v>
      </c>
      <c r="Q41" s="111">
        <f>Table1123456[[#This Row],[M (KN.mm)]]/(Table1123456[[#This Row],[b (mm)]]*Table1123456[[#This Row],[h (mm)]]*Table1123456[[#This Row],[L(mm)]]*Table1123456[[#This Row],[fc (Mpa)]])</f>
        <v>1.0444928815356497E-5</v>
      </c>
      <c r="R41" s="111">
        <f>Table1123456[[#This Row],[M (KN.mm)]]/(Table1123456[[#This Row],[b (mm)]]*Table1123456[[#This Row],[h (mm)]]*Table1123456[[#This Row],[L(mm)]]/2)</f>
        <v>1.4330442334669112E-3</v>
      </c>
      <c r="S41" s="111">
        <f>Table1123456[[#This Row],[M (KN.mm)]]/(Table1123456[[#This Row],[a (mm)]]*Table1123456[[#This Row],[b (mm)]]*Table1123456[[#This Row],[h (mm)]]*Table1123456[[#This Row],[L(mm)]]/2)</f>
        <v>2.0569914499934131E-6</v>
      </c>
      <c r="T41" s="111">
        <f>G41/($AJ$5*AF41*0.001*Table1123456[[#This Row],[pho (%)]])</f>
        <v>3.89111751083005E-6</v>
      </c>
      <c r="U41" s="111">
        <f>Table1123456[[#This Row],[M (KN.mm)]]/(Table1123456[[#This Row],[b (mm)]]*Table1123456[[#This Row],[d (mm)]]*Table1123456[[#This Row],[pho (%)]])</f>
        <v>1.0399186801157245</v>
      </c>
      <c r="V41" s="111">
        <f>E41/(Table1123456[[#This Row],[b (mm)]]*Y41*Table1123456[[#This Row],[fc (Mpa)]]*Table1123456[[#This Row],[a (mm)]])</f>
        <v>3.0064062936892473E-8</v>
      </c>
      <c r="W41" s="111">
        <f>2.99*Table1123456[[#This Row],[d (mm)]]</f>
        <v>696.67000000000007</v>
      </c>
      <c r="X41" s="160">
        <v>233</v>
      </c>
      <c r="Y41" s="160">
        <v>305</v>
      </c>
      <c r="Z41" s="160">
        <v>203</v>
      </c>
      <c r="AA41" s="160">
        <v>68.599999999999994</v>
      </c>
      <c r="AB41" s="160">
        <v>600</v>
      </c>
      <c r="AC41" s="160">
        <v>1.26</v>
      </c>
      <c r="AD41" s="160">
        <v>525</v>
      </c>
      <c r="AE41" s="111">
        <f>(1/3-0.21*(MIN(Table1123456[[#This Row],[b (mm)]],Y41)/MAX(Table1123456[[#This Row],[b (mm)]],Y41))*(MIN(Table1123456[[#This Row],[b (mm)]],Y41)^4/(12*MAX(Table1123456[[#This Row],[b (mm)]],Y41)^4)))*MAX(Table1123456[[#This Row],[b (mm)]],Y41)*MIN(Table1123456[[#This Row],[b (mm)]],Y41)^3</f>
        <v>844653219.61076438</v>
      </c>
      <c r="AF41" s="111">
        <f>Table1123456[[#This Row],[b (mm)]]*Y41^3/12</f>
        <v>479970239.58333331</v>
      </c>
      <c r="AG41" s="160">
        <v>1397</v>
      </c>
      <c r="AH41" s="139"/>
      <c r="AI41" s="139"/>
      <c r="AJ41" s="139"/>
      <c r="AK41" s="139"/>
      <c r="AL41" s="139"/>
      <c r="AM41" s="139"/>
      <c r="AN41" s="139"/>
      <c r="AO41" s="1"/>
      <c r="AP41" s="1"/>
    </row>
    <row r="42" spans="1:42" x14ac:dyDescent="0.25">
      <c r="A42" s="156" t="s">
        <v>98</v>
      </c>
      <c r="B42" s="164">
        <v>8</v>
      </c>
      <c r="C42" s="111">
        <v>49</v>
      </c>
      <c r="D42" s="111">
        <f>Table1123456[[#This Row],[a (mm)]]/Table1123456[[#This Row],[d (mm)]]</f>
        <v>2.99</v>
      </c>
      <c r="E42" s="160">
        <v>97.856000000000009</v>
      </c>
      <c r="F42" s="137">
        <f>Table1123456[[#This Row],[d (mm)]]</f>
        <v>233</v>
      </c>
      <c r="G42" s="111">
        <f t="shared" si="3"/>
        <v>68173.339520000009</v>
      </c>
      <c r="H42" s="111">
        <f t="shared" si="0"/>
        <v>5.3930888700104487E-6</v>
      </c>
      <c r="I42" s="111">
        <f>G42/(Table1123456[[#This Row],[b (mm)]]*X42^2)</f>
        <v>6.1859540370832371E-3</v>
      </c>
      <c r="J42" s="111">
        <f t="shared" si="1"/>
        <v>0.92885536507936517</v>
      </c>
      <c r="K42" s="111">
        <f t="shared" si="2"/>
        <v>3.6896007126513207E-6</v>
      </c>
      <c r="L42" s="111">
        <f>E42/(Table1123456[[#This Row],[b (mm)]]*X42)</f>
        <v>2.06888094885727E-3</v>
      </c>
      <c r="M42" s="111">
        <f>Table1123456[[#This Row],[M (KN.mm)]]/(Table1123456[[#This Row],[b (mm)]]*Table1123456[[#This Row],[d (mm)]])</f>
        <v>1.4413272906403942</v>
      </c>
      <c r="N42" s="111">
        <f>Table1123456[[#This Row],[M (KN.mm)]]/(Table1123456[[#This Row],[b (mm)]]*Table1123456[[#This Row],[h (mm)]])</f>
        <v>1.1010795367843011</v>
      </c>
      <c r="O42" s="111">
        <f>Table1123456[[#This Row],[M (KN.mm)]]/(Table1123456[[#This Row],[b (mm)]]*Table1123456[[#This Row],[h (mm)]]*Table1123456[[#This Row],[L(mm)]])</f>
        <v>7.8817432840680109E-4</v>
      </c>
      <c r="P42" s="111">
        <f>Table1123456[[#This Row],[M (KN.mm)]]/(Table1123456[[#This Row],[b (mm)]]*Table1123456[[#This Row],[d (mm)]]*Table1123456[[#This Row],[L(mm)]])</f>
        <v>1.0317303440518213E-3</v>
      </c>
      <c r="Q42" s="111">
        <f>Table1123456[[#This Row],[M (KN.mm)]]/(Table1123456[[#This Row],[b (mm)]]*Table1123456[[#This Row],[h (mm)]]*Table1123456[[#This Row],[L(mm)]]*Table1123456[[#This Row],[fc (Mpa)]])</f>
        <v>1.1489421696892147E-5</v>
      </c>
      <c r="R42" s="111">
        <f>Table1123456[[#This Row],[M (KN.mm)]]/(Table1123456[[#This Row],[b (mm)]]*Table1123456[[#This Row],[h (mm)]]*Table1123456[[#This Row],[L(mm)]]/2)</f>
        <v>1.5763486568136022E-3</v>
      </c>
      <c r="S42" s="111">
        <f>Table1123456[[#This Row],[M (KN.mm)]]/(Table1123456[[#This Row],[a (mm)]]*Table1123456[[#This Row],[b (mm)]]*Table1123456[[#This Row],[h (mm)]]*Table1123456[[#This Row],[L(mm)]]/2)</f>
        <v>2.2626905949927543E-6</v>
      </c>
      <c r="T42" s="111">
        <f>G42/($AJ$5*AF42*0.001*Table1123456[[#This Row],[pho (%)]])</f>
        <v>4.2802292619130544E-6</v>
      </c>
      <c r="U42" s="111">
        <f>Table1123456[[#This Row],[M (KN.mm)]]/(Table1123456[[#This Row],[b (mm)]]*Table1123456[[#This Row],[d (mm)]]*Table1123456[[#This Row],[pho (%)]])</f>
        <v>1.1439105481272971</v>
      </c>
      <c r="V42" s="111">
        <f>E42/(Table1123456[[#This Row],[b (mm)]]*Y42*Table1123456[[#This Row],[fc (Mpa)]]*Table1123456[[#This Row],[a (mm)]])</f>
        <v>3.3070469230581723E-8</v>
      </c>
      <c r="W42" s="111">
        <f>2.99*Table1123456[[#This Row],[d (mm)]]</f>
        <v>696.67000000000007</v>
      </c>
      <c r="X42" s="160">
        <v>233</v>
      </c>
      <c r="Y42" s="160">
        <v>305</v>
      </c>
      <c r="Z42" s="160">
        <v>203</v>
      </c>
      <c r="AA42" s="160">
        <v>68.599999999999994</v>
      </c>
      <c r="AB42" s="160">
        <v>600</v>
      </c>
      <c r="AC42" s="160">
        <v>1.26</v>
      </c>
      <c r="AD42" s="160">
        <v>525</v>
      </c>
      <c r="AE42" s="111">
        <f>(1/3-0.21*(MIN(Table1123456[[#This Row],[b (mm)]],Y42)/MAX(Table1123456[[#This Row],[b (mm)]],Y42))*(MIN(Table1123456[[#This Row],[b (mm)]],Y42)^4/(12*MAX(Table1123456[[#This Row],[b (mm)]],Y42)^4)))*MAX(Table1123456[[#This Row],[b (mm)]],Y42)*MIN(Table1123456[[#This Row],[b (mm)]],Y42)^3</f>
        <v>844653219.61076438</v>
      </c>
      <c r="AF42" s="111">
        <f>Table1123456[[#This Row],[b (mm)]]*Y42^3/12</f>
        <v>479970239.58333331</v>
      </c>
      <c r="AG42" s="160">
        <v>1397</v>
      </c>
      <c r="AH42" s="139"/>
      <c r="AI42" s="139"/>
      <c r="AJ42" s="139"/>
      <c r="AK42" s="139"/>
      <c r="AL42" s="139"/>
      <c r="AM42" s="139"/>
      <c r="AN42" s="139"/>
      <c r="AO42" s="1"/>
      <c r="AP42" s="1"/>
    </row>
    <row r="43" spans="1:42" x14ac:dyDescent="0.25">
      <c r="A43" s="156" t="s">
        <v>98</v>
      </c>
      <c r="B43" s="164">
        <v>9</v>
      </c>
      <c r="C43" s="111">
        <v>50</v>
      </c>
      <c r="D43" s="111">
        <f>Table1123456[[#This Row],[a (mm)]]/Table1123456[[#This Row],[d (mm)]]</f>
        <v>2.99</v>
      </c>
      <c r="E43" s="160">
        <v>106.75200000000001</v>
      </c>
      <c r="F43" s="137">
        <f>Table1123456[[#This Row],[d (mm)]]</f>
        <v>233</v>
      </c>
      <c r="G43" s="111">
        <f t="shared" si="3"/>
        <v>74370.915840000016</v>
      </c>
      <c r="H43" s="111">
        <f t="shared" si="0"/>
        <v>5.8833696763750357E-6</v>
      </c>
      <c r="I43" s="111">
        <f>G43/(Table1123456[[#This Row],[b (mm)]]*X43^2)</f>
        <v>6.7483134949998958E-3</v>
      </c>
      <c r="J43" s="111">
        <f t="shared" si="1"/>
        <v>1.0132967619047621</v>
      </c>
      <c r="K43" s="111">
        <f t="shared" si="2"/>
        <v>4.0250189592559863E-6</v>
      </c>
      <c r="L43" s="111">
        <f>E43/(Table1123456[[#This Row],[b (mm)]]*X43)</f>
        <v>2.2569610351170217E-3</v>
      </c>
      <c r="M43" s="111">
        <f>Table1123456[[#This Row],[M (KN.mm)]]/(Table1123456[[#This Row],[b (mm)]]*Table1123456[[#This Row],[d (mm)]])</f>
        <v>1.5723570443349757</v>
      </c>
      <c r="N43" s="111">
        <f>Table1123456[[#This Row],[M (KN.mm)]]/(Table1123456[[#This Row],[b (mm)]]*Table1123456[[#This Row],[h (mm)]])</f>
        <v>1.2011776764919651</v>
      </c>
      <c r="O43" s="111">
        <f>Table1123456[[#This Row],[M (KN.mm)]]/(Table1123456[[#This Row],[b (mm)]]*Table1123456[[#This Row],[h (mm)]]*Table1123456[[#This Row],[L(mm)]])</f>
        <v>8.5982654008014679E-4</v>
      </c>
      <c r="P43" s="111">
        <f>Table1123456[[#This Row],[M (KN.mm)]]/(Table1123456[[#This Row],[b (mm)]]*Table1123456[[#This Row],[d (mm)]]*Table1123456[[#This Row],[L(mm)]])</f>
        <v>1.1255240116928959E-3</v>
      </c>
      <c r="Q43" s="111">
        <f>Table1123456[[#This Row],[M (KN.mm)]]/(Table1123456[[#This Row],[b (mm)]]*Table1123456[[#This Row],[h (mm)]]*Table1123456[[#This Row],[L(mm)]]*Table1123456[[#This Row],[fc (Mpa)]])</f>
        <v>1.2533914578427797E-5</v>
      </c>
      <c r="R43" s="111">
        <f>Table1123456[[#This Row],[M (KN.mm)]]/(Table1123456[[#This Row],[b (mm)]]*Table1123456[[#This Row],[h (mm)]]*Table1123456[[#This Row],[L(mm)]]/2)</f>
        <v>1.7196530801602936E-3</v>
      </c>
      <c r="S43" s="111">
        <f>Table1123456[[#This Row],[M (KN.mm)]]/(Table1123456[[#This Row],[a (mm)]]*Table1123456[[#This Row],[b (mm)]]*Table1123456[[#This Row],[h (mm)]]*Table1123456[[#This Row],[L(mm)]]/2)</f>
        <v>2.4683897399920959E-6</v>
      </c>
      <c r="T43" s="111">
        <f>G43/($AJ$5*AF43*0.001*Table1123456[[#This Row],[pho (%)]])</f>
        <v>4.6693410129960604E-6</v>
      </c>
      <c r="U43" s="111">
        <f>Table1123456[[#This Row],[M (KN.mm)]]/(Table1123456[[#This Row],[b (mm)]]*Table1123456[[#This Row],[d (mm)]]*Table1123456[[#This Row],[pho (%)]])</f>
        <v>1.2479024161388697</v>
      </c>
      <c r="V43" s="111">
        <f>E43/(Table1123456[[#This Row],[b (mm)]]*Y43*Table1123456[[#This Row],[fc (Mpa)]]*Table1123456[[#This Row],[a (mm)]])</f>
        <v>3.6076875524270972E-8</v>
      </c>
      <c r="W43" s="111">
        <f>2.99*Table1123456[[#This Row],[d (mm)]]</f>
        <v>696.67000000000007</v>
      </c>
      <c r="X43" s="160">
        <v>233</v>
      </c>
      <c r="Y43" s="160">
        <v>305</v>
      </c>
      <c r="Z43" s="160">
        <v>203</v>
      </c>
      <c r="AA43" s="160">
        <v>68.599999999999994</v>
      </c>
      <c r="AB43" s="160">
        <v>600</v>
      </c>
      <c r="AC43" s="160">
        <v>1.26</v>
      </c>
      <c r="AD43" s="160">
        <v>525</v>
      </c>
      <c r="AE43" s="111">
        <f>(1/3-0.21*(MIN(Table1123456[[#This Row],[b (mm)]],Y43)/MAX(Table1123456[[#This Row],[b (mm)]],Y43))*(MIN(Table1123456[[#This Row],[b (mm)]],Y43)^4/(12*MAX(Table1123456[[#This Row],[b (mm)]],Y43)^4)))*MAX(Table1123456[[#This Row],[b (mm)]],Y43)*MIN(Table1123456[[#This Row],[b (mm)]],Y43)^3</f>
        <v>844653219.61076438</v>
      </c>
      <c r="AF43" s="111">
        <f>Table1123456[[#This Row],[b (mm)]]*Y43^3/12</f>
        <v>479970239.58333331</v>
      </c>
      <c r="AG43" s="160">
        <v>1397</v>
      </c>
      <c r="AH43" s="139"/>
      <c r="AI43" s="139"/>
      <c r="AJ43" s="139"/>
      <c r="AK43" s="139"/>
      <c r="AL43" s="139"/>
      <c r="AM43" s="139"/>
      <c r="AN43" s="139"/>
      <c r="AO43" s="1"/>
      <c r="AP43" s="1"/>
    </row>
    <row r="44" spans="1:42" x14ac:dyDescent="0.25">
      <c r="A44" s="157" t="s">
        <v>99</v>
      </c>
      <c r="B44" s="146">
        <v>1</v>
      </c>
      <c r="C44" s="111">
        <v>53</v>
      </c>
      <c r="D44" s="111">
        <f>Table1123456[[#This Row],[a (mm)]]/Table1123456[[#This Row],[d (mm)]]</f>
        <v>2.99</v>
      </c>
      <c r="E44" s="111">
        <v>111.20000000000002</v>
      </c>
      <c r="F44" s="137">
        <f>Table1123456[[#This Row],[d (mm)]]</f>
        <v>529</v>
      </c>
      <c r="G44" s="135">
        <f t="shared" si="3"/>
        <v>175886.15200000003</v>
      </c>
      <c r="H44" s="135">
        <f t="shared" si="0"/>
        <v>8.7393535844931482E-7</v>
      </c>
      <c r="I44" s="135">
        <f>G44/(Table1123456[[#This Row],[b (mm)]]*X44^2)</f>
        <v>1.5404944586530267E-3</v>
      </c>
      <c r="J44" s="135">
        <f t="shared" si="1"/>
        <v>0.24537407058910357</v>
      </c>
      <c r="K44" s="135">
        <f t="shared" si="2"/>
        <v>2.5913499490045556E-7</v>
      </c>
      <c r="L44" s="135">
        <f>E44/(Table1123456[[#This Row],[b (mm)]]*X44)</f>
        <v>5.1521553801104573E-4</v>
      </c>
      <c r="M44" s="135">
        <f>Table1123456[[#This Row],[M (KN.mm)]]/(Table1123456[[#This Row],[b (mm)]]*Table1123456[[#This Row],[d (mm)]])</f>
        <v>0.81492156862745113</v>
      </c>
      <c r="N44" s="135">
        <f>Table1123456[[#This Row],[M (KN.mm)]]/(Table1123456[[#This Row],[b (mm)]]*Table1123456[[#This Row],[h (mm)]])</f>
        <v>0.70903537796697635</v>
      </c>
      <c r="O44" s="144">
        <f>Table1123456[[#This Row],[M (KN.mm)]]/(Table1123456[[#This Row],[b (mm)]]*Table1123456[[#This Row],[h (mm)]]*Table1123456[[#This Row],[L(mm)]])</f>
        <v>2.2423636241839859E-4</v>
      </c>
      <c r="P44" s="144">
        <f>Table1123456[[#This Row],[M (KN.mm)]]/(Table1123456[[#This Row],[b (mm)]]*Table1123456[[#This Row],[d (mm)]]*Table1123456[[#This Row],[L(mm)]])</f>
        <v>2.5772345623891558E-4</v>
      </c>
      <c r="Q44" s="144">
        <f>Table1123456[[#This Row],[M (KN.mm)]]/(Table1123456[[#This Row],[b (mm)]]*Table1123456[[#This Row],[h (mm)]]*Table1123456[[#This Row],[L(mm)]]*Table1123456[[#This Row],[fc (Mpa)]])</f>
        <v>3.4604376916419535E-6</v>
      </c>
      <c r="R44" s="144">
        <f>Table1123456[[#This Row],[M (KN.mm)]]/(Table1123456[[#This Row],[b (mm)]]*Table1123456[[#This Row],[h (mm)]]*Table1123456[[#This Row],[L(mm)]]/2)</f>
        <v>4.4847272483679719E-4</v>
      </c>
      <c r="S44" s="144">
        <f>Table1123456[[#This Row],[M (KN.mm)]]/(Table1123456[[#This Row],[a (mm)]]*Table1123456[[#This Row],[b (mm)]]*Table1123456[[#This Row],[h (mm)]]*Table1123456[[#This Row],[L(mm)]]/2)</f>
        <v>2.8353663113769094E-7</v>
      </c>
      <c r="T44" s="111">
        <f>G44/($AJ$5*AF44*0.001*Table1123456[[#This Row],[pho (%)]])</f>
        <v>7.2827946537442903E-7</v>
      </c>
      <c r="U44" s="144">
        <f>Table1123456[[#This Row],[M (KN.mm)]]/(Table1123456[[#This Row],[b (mm)]]*Table1123456[[#This Row],[d (mm)]]*Table1123456[[#This Row],[pho (%)]])</f>
        <v>0.67910130718954265</v>
      </c>
      <c r="V44" s="144">
        <f>E44/(Table1123456[[#This Row],[b (mm)]]*Y44*Table1123456[[#This Row],[fc (Mpa)]]*Table1123456[[#This Row],[a (mm)]])</f>
        <v>4.3736011860102172E-9</v>
      </c>
      <c r="W44" s="111">
        <f>2.99*Table1123456[[#This Row],[d (mm)]]</f>
        <v>1581.71</v>
      </c>
      <c r="X44" s="160">
        <v>529</v>
      </c>
      <c r="Y44" s="160">
        <v>608</v>
      </c>
      <c r="Z44" s="160">
        <v>408</v>
      </c>
      <c r="AA44" s="160">
        <v>64.8</v>
      </c>
      <c r="AB44" s="160">
        <v>2581</v>
      </c>
      <c r="AC44" s="160">
        <v>1.2</v>
      </c>
      <c r="AD44" s="160">
        <v>525</v>
      </c>
      <c r="AE44" s="111">
        <f>(1/3-0.21*(MIN(Table1123456[[#This Row],[b (mm)]],Y44)/MAX(Table1123456[[#This Row],[b (mm)]],Y44))*(MIN(Table1123456[[#This Row],[b (mm)]],Y44)^4/(12*MAX(Table1123456[[#This Row],[b (mm)]],Y44)^4)))*MAX(Table1123456[[#This Row],[b (mm)]],Y44)*MIN(Table1123456[[#This Row],[b (mm)]],Y44)^3</f>
        <v>13666240930.700037</v>
      </c>
      <c r="AF44" s="111">
        <f>Table1123456[[#This Row],[b (mm)]]*Y44^3/12</f>
        <v>7641694208</v>
      </c>
      <c r="AG44" s="160">
        <v>3162</v>
      </c>
      <c r="AH44" s="138"/>
      <c r="AI44" s="126"/>
      <c r="AJ44" s="139"/>
      <c r="AK44" s="139"/>
      <c r="AL44" s="105"/>
      <c r="AM44" s="105"/>
      <c r="AN44" s="105"/>
    </row>
    <row r="45" spans="1:42" x14ac:dyDescent="0.25">
      <c r="A45" s="157" t="s">
        <v>99</v>
      </c>
      <c r="B45" s="146">
        <v>2</v>
      </c>
      <c r="C45" s="111">
        <v>54</v>
      </c>
      <c r="D45" s="111">
        <f>Table1123456[[#This Row],[a (mm)]]/Table1123456[[#This Row],[d (mm)]]</f>
        <v>2.99</v>
      </c>
      <c r="E45" s="111">
        <v>133.44</v>
      </c>
      <c r="F45" s="137">
        <f>Table1123456[[#This Row],[d (mm)]]</f>
        <v>529</v>
      </c>
      <c r="G45" s="135">
        <f t="shared" si="3"/>
        <v>211063.3824</v>
      </c>
      <c r="H45" s="135">
        <f t="shared" si="0"/>
        <v>1.0487224301391777E-6</v>
      </c>
      <c r="I45" s="135">
        <f>G45/(Table1123456[[#This Row],[b (mm)]]*X45^2)</f>
        <v>1.8485933503836318E-3</v>
      </c>
      <c r="J45" s="135">
        <f t="shared" si="1"/>
        <v>0.29444888470692426</v>
      </c>
      <c r="K45" s="135">
        <f t="shared" si="2"/>
        <v>3.109619938805466E-7</v>
      </c>
      <c r="L45" s="135">
        <f>E45/(Table1123456[[#This Row],[b (mm)]]*X45)</f>
        <v>6.182586456132547E-4</v>
      </c>
      <c r="M45" s="135">
        <f>Table1123456[[#This Row],[M (KN.mm)]]/(Table1123456[[#This Row],[b (mm)]]*Table1123456[[#This Row],[d (mm)]])</f>
        <v>0.97790588235294118</v>
      </c>
      <c r="N45" s="135">
        <f>Table1123456[[#This Row],[M (KN.mm)]]/(Table1123456[[#This Row],[b (mm)]]*Table1123456[[#This Row],[h (mm)]])</f>
        <v>0.85084245356037158</v>
      </c>
      <c r="O45" s="145">
        <f>Table1123456[[#This Row],[M (KN.mm)]]/(Table1123456[[#This Row],[b (mm)]]*Table1123456[[#This Row],[h (mm)]]*Table1123456[[#This Row],[L(mm)]])</f>
        <v>2.6908363490207827E-4</v>
      </c>
      <c r="P45" s="145">
        <f>Table1123456[[#This Row],[M (KN.mm)]]/(Table1123456[[#This Row],[b (mm)]]*Table1123456[[#This Row],[d (mm)]]*Table1123456[[#This Row],[L(mm)]])</f>
        <v>3.0926814748669866E-4</v>
      </c>
      <c r="Q45" s="145">
        <f>Table1123456[[#This Row],[M (KN.mm)]]/(Table1123456[[#This Row],[b (mm)]]*Table1123456[[#This Row],[h (mm)]]*Table1123456[[#This Row],[L(mm)]]*Table1123456[[#This Row],[fc (Mpa)]])</f>
        <v>4.1525252299703436E-6</v>
      </c>
      <c r="R45" s="145">
        <f>Table1123456[[#This Row],[M (KN.mm)]]/(Table1123456[[#This Row],[b (mm)]]*Table1123456[[#This Row],[h (mm)]]*Table1123456[[#This Row],[L(mm)]]/2)</f>
        <v>5.3816726980415654E-4</v>
      </c>
      <c r="S45" s="145">
        <f>Table1123456[[#This Row],[M (KN.mm)]]/(Table1123456[[#This Row],[a (mm)]]*Table1123456[[#This Row],[b (mm)]]*Table1123456[[#This Row],[h (mm)]]*Table1123456[[#This Row],[L(mm)]]/2)</f>
        <v>3.4024395736522905E-7</v>
      </c>
      <c r="T45" s="111">
        <f>G45/($AJ$5*AF45*0.001*Table1123456[[#This Row],[pho (%)]])</f>
        <v>8.7393535844931471E-7</v>
      </c>
      <c r="U45" s="145">
        <f>Table1123456[[#This Row],[M (KN.mm)]]/(Table1123456[[#This Row],[b (mm)]]*Table1123456[[#This Row],[d (mm)]]*Table1123456[[#This Row],[pho (%)]])</f>
        <v>0.81492156862745102</v>
      </c>
      <c r="V45" s="145">
        <f>E45/(Table1123456[[#This Row],[b (mm)]]*Y45*Table1123456[[#This Row],[fc (Mpa)]]*Table1123456[[#This Row],[a (mm)]])</f>
        <v>5.2483214232122596E-9</v>
      </c>
      <c r="W45" s="111">
        <f>2.99*Table1123456[[#This Row],[d (mm)]]</f>
        <v>1581.71</v>
      </c>
      <c r="X45" s="160">
        <v>529</v>
      </c>
      <c r="Y45" s="160">
        <v>608</v>
      </c>
      <c r="Z45" s="160">
        <v>408</v>
      </c>
      <c r="AA45" s="160">
        <v>64.8</v>
      </c>
      <c r="AB45" s="160">
        <v>2581</v>
      </c>
      <c r="AC45" s="160">
        <v>1.2</v>
      </c>
      <c r="AD45" s="160">
        <v>525</v>
      </c>
      <c r="AE45" s="111">
        <f>(1/3-0.21*(MIN(Table1123456[[#This Row],[b (mm)]],Y45)/MAX(Table1123456[[#This Row],[b (mm)]],Y45))*(MIN(Table1123456[[#This Row],[b (mm)]],Y45)^4/(12*MAX(Table1123456[[#This Row],[b (mm)]],Y45)^4)))*MAX(Table1123456[[#This Row],[b (mm)]],Y45)*MIN(Table1123456[[#This Row],[b (mm)]],Y45)^3</f>
        <v>13666240930.700037</v>
      </c>
      <c r="AF45" s="111">
        <f>Table1123456[[#This Row],[b (mm)]]*Y45^3/12</f>
        <v>7641694208</v>
      </c>
      <c r="AG45" s="160">
        <v>3162</v>
      </c>
      <c r="AH45" s="138"/>
      <c r="AI45" s="126"/>
      <c r="AJ45" s="139"/>
      <c r="AK45" s="139"/>
      <c r="AL45" s="105"/>
      <c r="AM45" s="105"/>
      <c r="AN45" s="105"/>
    </row>
    <row r="46" spans="1:42" x14ac:dyDescent="0.25">
      <c r="A46" s="157" t="s">
        <v>99</v>
      </c>
      <c r="B46" s="146">
        <v>3</v>
      </c>
      <c r="C46" s="111">
        <v>55</v>
      </c>
      <c r="D46" s="111">
        <f>Table1123456[[#This Row],[a (mm)]]/Table1123456[[#This Row],[d (mm)]]</f>
        <v>2.99</v>
      </c>
      <c r="E46" s="111">
        <v>155.68</v>
      </c>
      <c r="F46" s="137">
        <f>Table1123456[[#This Row],[d (mm)]]</f>
        <v>529</v>
      </c>
      <c r="G46" s="135">
        <f t="shared" si="3"/>
        <v>246240.6128</v>
      </c>
      <c r="H46" s="135">
        <f t="shared" si="0"/>
        <v>1.2235095018290406E-6</v>
      </c>
      <c r="I46" s="135">
        <f>G46/(Table1123456[[#This Row],[b (mm)]]*X46^2)</f>
        <v>2.1566922421142371E-3</v>
      </c>
      <c r="J46" s="135">
        <f t="shared" si="1"/>
        <v>0.34352369882474493</v>
      </c>
      <c r="K46" s="135">
        <f t="shared" si="2"/>
        <v>3.6278899286063776E-7</v>
      </c>
      <c r="L46" s="135">
        <f>E46/(Table1123456[[#This Row],[b (mm)]]*X46)</f>
        <v>7.2130175321546389E-4</v>
      </c>
      <c r="M46" s="135">
        <f>Table1123456[[#This Row],[M (KN.mm)]]/(Table1123456[[#This Row],[b (mm)]]*Table1123456[[#This Row],[d (mm)]])</f>
        <v>1.1408901960784315</v>
      </c>
      <c r="N46" s="135">
        <f>Table1123456[[#This Row],[M (KN.mm)]]/(Table1123456[[#This Row],[b (mm)]]*Table1123456[[#This Row],[h (mm)]])</f>
        <v>0.99264952915376681</v>
      </c>
      <c r="O46" s="145">
        <f>Table1123456[[#This Row],[M (KN.mm)]]/(Table1123456[[#This Row],[b (mm)]]*Table1123456[[#This Row],[h (mm)]]*Table1123456[[#This Row],[L(mm)]])</f>
        <v>3.1393090738575797E-4</v>
      </c>
      <c r="P46" s="145">
        <f>Table1123456[[#This Row],[M (KN.mm)]]/(Table1123456[[#This Row],[b (mm)]]*Table1123456[[#This Row],[d (mm)]]*Table1123456[[#This Row],[L(mm)]])</f>
        <v>3.6081283873448178E-4</v>
      </c>
      <c r="Q46" s="145">
        <f>Table1123456[[#This Row],[M (KN.mm)]]/(Table1123456[[#This Row],[b (mm)]]*Table1123456[[#This Row],[h (mm)]]*Table1123456[[#This Row],[L(mm)]]*Table1123456[[#This Row],[fc (Mpa)]])</f>
        <v>4.844612768298734E-6</v>
      </c>
      <c r="R46" s="145">
        <f>Table1123456[[#This Row],[M (KN.mm)]]/(Table1123456[[#This Row],[b (mm)]]*Table1123456[[#This Row],[h (mm)]]*Table1123456[[#This Row],[L(mm)]]/2)</f>
        <v>6.2786181477151595E-4</v>
      </c>
      <c r="S46" s="145">
        <f>Table1123456[[#This Row],[M (KN.mm)]]/(Table1123456[[#This Row],[a (mm)]]*Table1123456[[#This Row],[b (mm)]]*Table1123456[[#This Row],[h (mm)]]*Table1123456[[#This Row],[L(mm)]]/2)</f>
        <v>3.9695128359276722E-7</v>
      </c>
      <c r="T46" s="111">
        <f>G46/($AJ$5*AF46*0.001*Table1123456[[#This Row],[pho (%)]])</f>
        <v>1.0195912515242006E-6</v>
      </c>
      <c r="U46" s="145">
        <f>Table1123456[[#This Row],[M (KN.mm)]]/(Table1123456[[#This Row],[b (mm)]]*Table1123456[[#This Row],[d (mm)]]*Table1123456[[#This Row],[pho (%)]])</f>
        <v>0.95074183006535951</v>
      </c>
      <c r="V46" s="145">
        <f>E46/(Table1123456[[#This Row],[b (mm)]]*Y46*Table1123456[[#This Row],[fc (Mpa)]]*Table1123456[[#This Row],[a (mm)]])</f>
        <v>6.1230416604143029E-9</v>
      </c>
      <c r="W46" s="111">
        <f>2.99*Table1123456[[#This Row],[d (mm)]]</f>
        <v>1581.71</v>
      </c>
      <c r="X46" s="160">
        <v>529</v>
      </c>
      <c r="Y46" s="160">
        <v>608</v>
      </c>
      <c r="Z46" s="160">
        <v>408</v>
      </c>
      <c r="AA46" s="160">
        <v>64.8</v>
      </c>
      <c r="AB46" s="160">
        <v>2581</v>
      </c>
      <c r="AC46" s="160">
        <v>1.2</v>
      </c>
      <c r="AD46" s="160">
        <v>525</v>
      </c>
      <c r="AE46" s="111">
        <f>(1/3-0.21*(MIN(Table1123456[[#This Row],[b (mm)]],Y46)/MAX(Table1123456[[#This Row],[b (mm)]],Y46))*(MIN(Table1123456[[#This Row],[b (mm)]],Y46)^4/(12*MAX(Table1123456[[#This Row],[b (mm)]],Y46)^4)))*MAX(Table1123456[[#This Row],[b (mm)]],Y46)*MIN(Table1123456[[#This Row],[b (mm)]],Y46)^3</f>
        <v>13666240930.700037</v>
      </c>
      <c r="AF46" s="111">
        <f>Table1123456[[#This Row],[b (mm)]]*Y46^3/12</f>
        <v>7641694208</v>
      </c>
      <c r="AG46" s="160">
        <v>3162</v>
      </c>
      <c r="AH46" s="138"/>
      <c r="AI46" s="126"/>
      <c r="AJ46" s="139"/>
      <c r="AK46" s="139"/>
      <c r="AL46" s="105"/>
      <c r="AM46" s="105"/>
      <c r="AN46" s="105"/>
    </row>
    <row r="47" spans="1:42" x14ac:dyDescent="0.25">
      <c r="A47" s="157" t="s">
        <v>99</v>
      </c>
      <c r="B47" s="146">
        <v>4</v>
      </c>
      <c r="C47" s="111">
        <v>56</v>
      </c>
      <c r="D47" s="111">
        <f>Table1123456[[#This Row],[a (mm)]]/Table1123456[[#This Row],[d (mm)]]</f>
        <v>2.99</v>
      </c>
      <c r="E47" s="111">
        <v>177.92000000000002</v>
      </c>
      <c r="F47" s="137">
        <f>Table1123456[[#This Row],[d (mm)]]</f>
        <v>529</v>
      </c>
      <c r="G47" s="135">
        <f t="shared" si="3"/>
        <v>281417.8432</v>
      </c>
      <c r="H47" s="135">
        <f t="shared" si="0"/>
        <v>1.3982965735189036E-6</v>
      </c>
      <c r="I47" s="135">
        <f>G47/(Table1123456[[#This Row],[b (mm)]]*X47^2)</f>
        <v>2.4647911338448424E-3</v>
      </c>
      <c r="J47" s="135">
        <f t="shared" si="1"/>
        <v>0.39259851294256565</v>
      </c>
      <c r="K47" s="135">
        <f t="shared" si="2"/>
        <v>4.1461599184072886E-7</v>
      </c>
      <c r="L47" s="135">
        <f>E47/(Table1123456[[#This Row],[b (mm)]]*X47)</f>
        <v>8.2434486081767308E-4</v>
      </c>
      <c r="M47" s="135">
        <f>Table1123456[[#This Row],[M (KN.mm)]]/(Table1123456[[#This Row],[b (mm)]]*Table1123456[[#This Row],[d (mm)]])</f>
        <v>1.3038745098039215</v>
      </c>
      <c r="N47" s="135">
        <f>Table1123456[[#This Row],[M (KN.mm)]]/(Table1123456[[#This Row],[b (mm)]]*Table1123456[[#This Row],[h (mm)]])</f>
        <v>1.134456604747162</v>
      </c>
      <c r="O47" s="145">
        <f>Table1123456[[#This Row],[M (KN.mm)]]/(Table1123456[[#This Row],[b (mm)]]*Table1123456[[#This Row],[h (mm)]]*Table1123456[[#This Row],[L(mm)]])</f>
        <v>3.5877817986943773E-4</v>
      </c>
      <c r="P47" s="145">
        <f>Table1123456[[#This Row],[M (KN.mm)]]/(Table1123456[[#This Row],[b (mm)]]*Table1123456[[#This Row],[d (mm)]]*Table1123456[[#This Row],[L(mm)]])</f>
        <v>4.1235752998226491E-4</v>
      </c>
      <c r="Q47" s="145">
        <f>Table1123456[[#This Row],[M (KN.mm)]]/(Table1123456[[#This Row],[b (mm)]]*Table1123456[[#This Row],[h (mm)]]*Table1123456[[#This Row],[L(mm)]]*Table1123456[[#This Row],[fc (Mpa)]])</f>
        <v>5.5367003066271253E-6</v>
      </c>
      <c r="R47" s="145">
        <f>Table1123456[[#This Row],[M (KN.mm)]]/(Table1123456[[#This Row],[b (mm)]]*Table1123456[[#This Row],[h (mm)]]*Table1123456[[#This Row],[L(mm)]]/2)</f>
        <v>7.1755635973887546E-4</v>
      </c>
      <c r="S47" s="145">
        <f>Table1123456[[#This Row],[M (KN.mm)]]/(Table1123456[[#This Row],[a (mm)]]*Table1123456[[#This Row],[b (mm)]]*Table1123456[[#This Row],[h (mm)]]*Table1123456[[#This Row],[L(mm)]]/2)</f>
        <v>4.5365860982030539E-7</v>
      </c>
      <c r="T47" s="111">
        <f>G47/($AJ$5*AF47*0.001*Table1123456[[#This Row],[pho (%)]])</f>
        <v>1.1652471445990863E-6</v>
      </c>
      <c r="U47" s="145">
        <f>Table1123456[[#This Row],[M (KN.mm)]]/(Table1123456[[#This Row],[b (mm)]]*Table1123456[[#This Row],[d (mm)]]*Table1123456[[#This Row],[pho (%)]])</f>
        <v>1.0865620915032681</v>
      </c>
      <c r="V47" s="145">
        <f>E47/(Table1123456[[#This Row],[b (mm)]]*Y47*Table1123456[[#This Row],[fc (Mpa)]]*Table1123456[[#This Row],[a (mm)]])</f>
        <v>6.9977618976163469E-9</v>
      </c>
      <c r="W47" s="111">
        <f>2.99*Table1123456[[#This Row],[d (mm)]]</f>
        <v>1581.71</v>
      </c>
      <c r="X47" s="160">
        <v>529</v>
      </c>
      <c r="Y47" s="160">
        <v>608</v>
      </c>
      <c r="Z47" s="160">
        <v>408</v>
      </c>
      <c r="AA47" s="160">
        <v>64.8</v>
      </c>
      <c r="AB47" s="160">
        <v>2581</v>
      </c>
      <c r="AC47" s="160">
        <v>1.2</v>
      </c>
      <c r="AD47" s="160">
        <v>525</v>
      </c>
      <c r="AE47" s="111">
        <f>(1/3-0.21*(MIN(Table1123456[[#This Row],[b (mm)]],Y47)/MAX(Table1123456[[#This Row],[b (mm)]],Y47))*(MIN(Table1123456[[#This Row],[b (mm)]],Y47)^4/(12*MAX(Table1123456[[#This Row],[b (mm)]],Y47)^4)))*MAX(Table1123456[[#This Row],[b (mm)]],Y47)*MIN(Table1123456[[#This Row],[b (mm)]],Y47)^3</f>
        <v>13666240930.700037</v>
      </c>
      <c r="AF47" s="111">
        <f>Table1123456[[#This Row],[b (mm)]]*Y47^3/12</f>
        <v>7641694208</v>
      </c>
      <c r="AG47" s="160">
        <v>3162</v>
      </c>
      <c r="AH47" s="138"/>
      <c r="AI47" s="126"/>
    </row>
    <row r="48" spans="1:42" x14ac:dyDescent="0.25">
      <c r="A48" s="157" t="s">
        <v>99</v>
      </c>
      <c r="B48" s="146">
        <v>5</v>
      </c>
      <c r="C48" s="111">
        <v>57</v>
      </c>
      <c r="D48" s="111">
        <f>Table1123456[[#This Row],[a (mm)]]/Table1123456[[#This Row],[d (mm)]]</f>
        <v>2.99</v>
      </c>
      <c r="E48" s="111">
        <v>200.16000000000003</v>
      </c>
      <c r="F48" s="137">
        <f>Table1123456[[#This Row],[d (mm)]]</f>
        <v>529</v>
      </c>
      <c r="G48" s="135">
        <f t="shared" si="3"/>
        <v>316595.07360000006</v>
      </c>
      <c r="H48" s="135">
        <f t="shared" si="0"/>
        <v>1.5730836452087668E-6</v>
      </c>
      <c r="I48" s="135">
        <f>G48/(Table1123456[[#This Row],[b (mm)]]*X48^2)</f>
        <v>2.7728900255754481E-3</v>
      </c>
      <c r="J48" s="135">
        <f t="shared" si="1"/>
        <v>0.44167332706038642</v>
      </c>
      <c r="K48" s="135">
        <f t="shared" si="2"/>
        <v>4.6644299082081996E-7</v>
      </c>
      <c r="L48" s="135">
        <f>E48/(Table1123456[[#This Row],[b (mm)]]*X48)</f>
        <v>9.2738796841988227E-4</v>
      </c>
      <c r="M48" s="135">
        <f>Table1123456[[#This Row],[M (KN.mm)]]/(Table1123456[[#This Row],[b (mm)]]*Table1123456[[#This Row],[d (mm)]])</f>
        <v>1.466858823529412</v>
      </c>
      <c r="N48" s="135">
        <f>Table1123456[[#This Row],[M (KN.mm)]]/(Table1123456[[#This Row],[b (mm)]]*Table1123456[[#This Row],[h (mm)]])</f>
        <v>1.2762636803405576</v>
      </c>
      <c r="O48" s="145">
        <f>Table1123456[[#This Row],[M (KN.mm)]]/(Table1123456[[#This Row],[b (mm)]]*Table1123456[[#This Row],[h (mm)]]*Table1123456[[#This Row],[L(mm)]])</f>
        <v>4.0362545235311749E-4</v>
      </c>
      <c r="P48" s="145">
        <f>Table1123456[[#This Row],[M (KN.mm)]]/(Table1123456[[#This Row],[b (mm)]]*Table1123456[[#This Row],[d (mm)]]*Table1123456[[#This Row],[L(mm)]])</f>
        <v>4.6390222123004809E-4</v>
      </c>
      <c r="Q48" s="145">
        <f>Table1123456[[#This Row],[M (KN.mm)]]/(Table1123456[[#This Row],[b (mm)]]*Table1123456[[#This Row],[h (mm)]]*Table1123456[[#This Row],[L(mm)]]*Table1123456[[#This Row],[fc (Mpa)]])</f>
        <v>6.2287878449555166E-6</v>
      </c>
      <c r="R48" s="145">
        <f>Table1123456[[#This Row],[M (KN.mm)]]/(Table1123456[[#This Row],[b (mm)]]*Table1123456[[#This Row],[h (mm)]]*Table1123456[[#This Row],[L(mm)]]/2)</f>
        <v>8.0725090470623497E-4</v>
      </c>
      <c r="S48" s="145">
        <f>Table1123456[[#This Row],[M (KN.mm)]]/(Table1123456[[#This Row],[a (mm)]]*Table1123456[[#This Row],[b (mm)]]*Table1123456[[#This Row],[h (mm)]]*Table1123456[[#This Row],[L(mm)]]/2)</f>
        <v>5.1036593604784371E-7</v>
      </c>
      <c r="T48" s="111">
        <f>G48/($AJ$5*AF48*0.001*Table1123456[[#This Row],[pho (%)]])</f>
        <v>1.3109030376739724E-6</v>
      </c>
      <c r="U48" s="145">
        <f>Table1123456[[#This Row],[M (KN.mm)]]/(Table1123456[[#This Row],[b (mm)]]*Table1123456[[#This Row],[d (mm)]]*Table1123456[[#This Row],[pho (%)]])</f>
        <v>1.2223823529411768</v>
      </c>
      <c r="V48" s="145">
        <f>E48/(Table1123456[[#This Row],[b (mm)]]*Y48*Table1123456[[#This Row],[fc (Mpa)]]*Table1123456[[#This Row],[a (mm)]])</f>
        <v>7.8724821348183902E-9</v>
      </c>
      <c r="W48" s="111">
        <f>2.99*Table1123456[[#This Row],[d (mm)]]</f>
        <v>1581.71</v>
      </c>
      <c r="X48" s="160">
        <v>529</v>
      </c>
      <c r="Y48" s="160">
        <v>608</v>
      </c>
      <c r="Z48" s="160">
        <v>408</v>
      </c>
      <c r="AA48" s="160">
        <v>64.8</v>
      </c>
      <c r="AB48" s="160">
        <v>2581</v>
      </c>
      <c r="AC48" s="160">
        <v>1.2</v>
      </c>
      <c r="AD48" s="160">
        <v>525</v>
      </c>
      <c r="AE48" s="111">
        <f>(1/3-0.21*(MIN(Table1123456[[#This Row],[b (mm)]],Y48)/MAX(Table1123456[[#This Row],[b (mm)]],Y48))*(MIN(Table1123456[[#This Row],[b (mm)]],Y48)^4/(12*MAX(Table1123456[[#This Row],[b (mm)]],Y48)^4)))*MAX(Table1123456[[#This Row],[b (mm)]],Y48)*MIN(Table1123456[[#This Row],[b (mm)]],Y48)^3</f>
        <v>13666240930.700037</v>
      </c>
      <c r="AF48" s="111">
        <f>Table1123456[[#This Row],[b (mm)]]*Y48^3/12</f>
        <v>7641694208</v>
      </c>
      <c r="AG48" s="160">
        <v>3162</v>
      </c>
      <c r="AH48" s="138"/>
      <c r="AI48" s="126"/>
    </row>
    <row r="49" spans="1:37" x14ac:dyDescent="0.25">
      <c r="A49" s="157" t="s">
        <v>99</v>
      </c>
      <c r="B49" s="146">
        <v>6</v>
      </c>
      <c r="C49" s="111">
        <v>58</v>
      </c>
      <c r="D49" s="111">
        <f>Table1123456[[#This Row],[a (mm)]]/Table1123456[[#This Row],[d (mm)]]</f>
        <v>2.99</v>
      </c>
      <c r="E49" s="111">
        <v>222.40000000000003</v>
      </c>
      <c r="F49" s="137">
        <f>Table1123456[[#This Row],[d (mm)]]</f>
        <v>529</v>
      </c>
      <c r="G49" s="135">
        <f t="shared" si="3"/>
        <v>351772.30400000006</v>
      </c>
      <c r="H49" s="135">
        <f t="shared" si="0"/>
        <v>1.7478707168986296E-6</v>
      </c>
      <c r="I49" s="135">
        <f>G49/(Table1123456[[#This Row],[b (mm)]]*X49^2)</f>
        <v>3.0809889173060534E-3</v>
      </c>
      <c r="J49" s="135">
        <f t="shared" si="1"/>
        <v>0.49074814117820714</v>
      </c>
      <c r="K49" s="135">
        <f t="shared" si="2"/>
        <v>5.1826998980091111E-7</v>
      </c>
      <c r="L49" s="135">
        <f>E49/(Table1123456[[#This Row],[b (mm)]]*X49)</f>
        <v>1.0304310760220915E-3</v>
      </c>
      <c r="M49" s="135">
        <f>Table1123456[[#This Row],[M (KN.mm)]]/(Table1123456[[#This Row],[b (mm)]]*Table1123456[[#This Row],[d (mm)]])</f>
        <v>1.6298431372549023</v>
      </c>
      <c r="N49" s="135">
        <f>Table1123456[[#This Row],[M (KN.mm)]]/(Table1123456[[#This Row],[b (mm)]]*Table1123456[[#This Row],[h (mm)]])</f>
        <v>1.4180707559339527</v>
      </c>
      <c r="O49" s="145">
        <f>Table1123456[[#This Row],[M (KN.mm)]]/(Table1123456[[#This Row],[b (mm)]]*Table1123456[[#This Row],[h (mm)]]*Table1123456[[#This Row],[L(mm)]])</f>
        <v>4.4847272483679719E-4</v>
      </c>
      <c r="P49" s="145">
        <f>Table1123456[[#This Row],[M (KN.mm)]]/(Table1123456[[#This Row],[b (mm)]]*Table1123456[[#This Row],[d (mm)]]*Table1123456[[#This Row],[L(mm)]])</f>
        <v>5.1544691247783117E-4</v>
      </c>
      <c r="Q49" s="145">
        <f>Table1123456[[#This Row],[M (KN.mm)]]/(Table1123456[[#This Row],[b (mm)]]*Table1123456[[#This Row],[h (mm)]]*Table1123456[[#This Row],[L(mm)]]*Table1123456[[#This Row],[fc (Mpa)]])</f>
        <v>6.9208753832839071E-6</v>
      </c>
      <c r="R49" s="145">
        <f>Table1123456[[#This Row],[M (KN.mm)]]/(Table1123456[[#This Row],[b (mm)]]*Table1123456[[#This Row],[h (mm)]]*Table1123456[[#This Row],[L(mm)]]/2)</f>
        <v>8.9694544967359438E-4</v>
      </c>
      <c r="S49" s="145">
        <f>Table1123456[[#This Row],[M (KN.mm)]]/(Table1123456[[#This Row],[a (mm)]]*Table1123456[[#This Row],[b (mm)]]*Table1123456[[#This Row],[h (mm)]]*Table1123456[[#This Row],[L(mm)]]/2)</f>
        <v>5.6707326227538188E-7</v>
      </c>
      <c r="T49" s="111">
        <f>G49/($AJ$5*AF49*0.001*Table1123456[[#This Row],[pho (%)]])</f>
        <v>1.4565589307488581E-6</v>
      </c>
      <c r="U49" s="145">
        <f>Table1123456[[#This Row],[M (KN.mm)]]/(Table1123456[[#This Row],[b (mm)]]*Table1123456[[#This Row],[d (mm)]]*Table1123456[[#This Row],[pho (%)]])</f>
        <v>1.3582026143790853</v>
      </c>
      <c r="V49" s="145">
        <f>E49/(Table1123456[[#This Row],[b (mm)]]*Y49*Table1123456[[#This Row],[fc (Mpa)]]*Table1123456[[#This Row],[a (mm)]])</f>
        <v>8.7472023720204343E-9</v>
      </c>
      <c r="W49" s="111">
        <f>2.99*Table1123456[[#This Row],[d (mm)]]</f>
        <v>1581.71</v>
      </c>
      <c r="X49" s="160">
        <v>529</v>
      </c>
      <c r="Y49" s="160">
        <v>608</v>
      </c>
      <c r="Z49" s="160">
        <v>408</v>
      </c>
      <c r="AA49" s="160">
        <v>64.8</v>
      </c>
      <c r="AB49" s="160">
        <v>2581</v>
      </c>
      <c r="AC49" s="160">
        <v>1.2</v>
      </c>
      <c r="AD49" s="160">
        <v>525</v>
      </c>
      <c r="AE49" s="111">
        <f>(1/3-0.21*(MIN(Table1123456[[#This Row],[b (mm)]],Y49)/MAX(Table1123456[[#This Row],[b (mm)]],Y49))*(MIN(Table1123456[[#This Row],[b (mm)]],Y49)^4/(12*MAX(Table1123456[[#This Row],[b (mm)]],Y49)^4)))*MAX(Table1123456[[#This Row],[b (mm)]],Y49)*MIN(Table1123456[[#This Row],[b (mm)]],Y49)^3</f>
        <v>13666240930.700037</v>
      </c>
      <c r="AF49" s="111">
        <f>Table1123456[[#This Row],[b (mm)]]*Y49^3/12</f>
        <v>7641694208</v>
      </c>
      <c r="AG49" s="160">
        <v>3162</v>
      </c>
      <c r="AH49" s="138"/>
      <c r="AI49" s="126"/>
    </row>
    <row r="50" spans="1:37" x14ac:dyDescent="0.25">
      <c r="A50" s="157" t="s">
        <v>99</v>
      </c>
      <c r="B50" s="146">
        <v>7</v>
      </c>
      <c r="C50" s="111">
        <v>59</v>
      </c>
      <c r="D50" s="111">
        <f>Table1123456[[#This Row],[a (mm)]]/Table1123456[[#This Row],[d (mm)]]</f>
        <v>2.99</v>
      </c>
      <c r="E50" s="111">
        <v>244.64000000000001</v>
      </c>
      <c r="F50" s="137">
        <f>Table1123456[[#This Row],[d (mm)]]</f>
        <v>529</v>
      </c>
      <c r="G50" s="135">
        <f t="shared" si="3"/>
        <v>386949.5344</v>
      </c>
      <c r="H50" s="135">
        <f t="shared" si="0"/>
        <v>1.9226577885884922E-6</v>
      </c>
      <c r="I50" s="135">
        <f>G50/(Table1123456[[#This Row],[b (mm)]]*X50^2)</f>
        <v>3.3890878090366582E-3</v>
      </c>
      <c r="J50" s="135">
        <f t="shared" si="1"/>
        <v>0.53982295529602775</v>
      </c>
      <c r="K50" s="135">
        <f t="shared" si="2"/>
        <v>5.7009698878100221E-7</v>
      </c>
      <c r="L50" s="135">
        <f>E50/(Table1123456[[#This Row],[b (mm)]]*X50)</f>
        <v>1.1334741836243004E-3</v>
      </c>
      <c r="M50" s="135">
        <f>Table1123456[[#This Row],[M (KN.mm)]]/(Table1123456[[#This Row],[b (mm)]]*Table1123456[[#This Row],[d (mm)]])</f>
        <v>1.7928274509803921</v>
      </c>
      <c r="N50" s="135">
        <f>Table1123456[[#This Row],[M (KN.mm)]]/(Table1123456[[#This Row],[b (mm)]]*Table1123456[[#This Row],[h (mm)]])</f>
        <v>1.5598778315273478</v>
      </c>
      <c r="O50" s="145">
        <f>Table1123456[[#This Row],[M (KN.mm)]]/(Table1123456[[#This Row],[b (mm)]]*Table1123456[[#This Row],[h (mm)]]*Table1123456[[#This Row],[L(mm)]])</f>
        <v>4.9331999732047684E-4</v>
      </c>
      <c r="P50" s="145">
        <f>Table1123456[[#This Row],[M (KN.mm)]]/(Table1123456[[#This Row],[b (mm)]]*Table1123456[[#This Row],[d (mm)]]*Table1123456[[#This Row],[L(mm)]])</f>
        <v>5.6699160372561419E-4</v>
      </c>
      <c r="Q50" s="145">
        <f>Table1123456[[#This Row],[M (KN.mm)]]/(Table1123456[[#This Row],[b (mm)]]*Table1123456[[#This Row],[h (mm)]]*Table1123456[[#This Row],[L(mm)]]*Table1123456[[#This Row],[fc (Mpa)]])</f>
        <v>7.6129629216122967E-6</v>
      </c>
      <c r="R50" s="145">
        <f>Table1123456[[#This Row],[M (KN.mm)]]/(Table1123456[[#This Row],[b (mm)]]*Table1123456[[#This Row],[h (mm)]]*Table1123456[[#This Row],[L(mm)]]/2)</f>
        <v>9.8663999464095368E-4</v>
      </c>
      <c r="S50" s="145">
        <f>Table1123456[[#This Row],[M (KN.mm)]]/(Table1123456[[#This Row],[a (mm)]]*Table1123456[[#This Row],[b (mm)]]*Table1123456[[#This Row],[h (mm)]]*Table1123456[[#This Row],[L(mm)]]/2)</f>
        <v>6.2378058850291994E-7</v>
      </c>
      <c r="T50" s="111">
        <f>G50/($AJ$5*AF50*0.001*Table1123456[[#This Row],[pho (%)]])</f>
        <v>1.6022148238237437E-6</v>
      </c>
      <c r="U50" s="145">
        <f>Table1123456[[#This Row],[M (KN.mm)]]/(Table1123456[[#This Row],[b (mm)]]*Table1123456[[#This Row],[d (mm)]]*Table1123456[[#This Row],[pho (%)]])</f>
        <v>1.4940228758169936</v>
      </c>
      <c r="V50" s="145">
        <f>E50/(Table1123456[[#This Row],[b (mm)]]*Y50*Table1123456[[#This Row],[fc (Mpa)]]*Table1123456[[#This Row],[a (mm)]])</f>
        <v>9.6219226092224767E-9</v>
      </c>
      <c r="W50" s="111">
        <f>2.99*Table1123456[[#This Row],[d (mm)]]</f>
        <v>1581.71</v>
      </c>
      <c r="X50" s="160">
        <v>529</v>
      </c>
      <c r="Y50" s="160">
        <v>608</v>
      </c>
      <c r="Z50" s="160">
        <v>408</v>
      </c>
      <c r="AA50" s="160">
        <v>64.8</v>
      </c>
      <c r="AB50" s="160">
        <v>2581</v>
      </c>
      <c r="AC50" s="160">
        <v>1.2</v>
      </c>
      <c r="AD50" s="160">
        <v>525</v>
      </c>
      <c r="AE50" s="111">
        <f>(1/3-0.21*(MIN(Table1123456[[#This Row],[b (mm)]],Y50)/MAX(Table1123456[[#This Row],[b (mm)]],Y50))*(MIN(Table1123456[[#This Row],[b (mm)]],Y50)^4/(12*MAX(Table1123456[[#This Row],[b (mm)]],Y50)^4)))*MAX(Table1123456[[#This Row],[b (mm)]],Y50)*MIN(Table1123456[[#This Row],[b (mm)]],Y50)^3</f>
        <v>13666240930.700037</v>
      </c>
      <c r="AF50" s="111">
        <f>Table1123456[[#This Row],[b (mm)]]*Y50^3/12</f>
        <v>7641694208</v>
      </c>
      <c r="AG50" s="160">
        <v>3162</v>
      </c>
      <c r="AH50" s="138"/>
      <c r="AI50" s="126"/>
    </row>
    <row r="51" spans="1:37" ht="13.5" customHeight="1" x14ac:dyDescent="0.25">
      <c r="A51" s="157" t="s">
        <v>99</v>
      </c>
      <c r="B51" s="146">
        <v>8</v>
      </c>
      <c r="C51" s="111">
        <v>60</v>
      </c>
      <c r="D51" s="111">
        <f>Table1123456[[#This Row],[a (mm)]]/Table1123456[[#This Row],[d (mm)]]</f>
        <v>2.99</v>
      </c>
      <c r="E51" s="111">
        <v>266.88</v>
      </c>
      <c r="F51" s="137">
        <f>Table1123456[[#This Row],[d (mm)]]</f>
        <v>529</v>
      </c>
      <c r="G51" s="135">
        <f t="shared" si="3"/>
        <v>422126.7648</v>
      </c>
      <c r="H51" s="135">
        <f t="shared" si="0"/>
        <v>2.0974448602783555E-6</v>
      </c>
      <c r="I51" s="135">
        <f>G51/(Table1123456[[#This Row],[b (mm)]]*X51^2)</f>
        <v>3.6971867007672635E-3</v>
      </c>
      <c r="J51" s="135">
        <f t="shared" si="1"/>
        <v>0.58889776941384853</v>
      </c>
      <c r="K51" s="135">
        <f t="shared" si="2"/>
        <v>6.2192398776109321E-7</v>
      </c>
      <c r="L51" s="135">
        <f>E51/(Table1123456[[#This Row],[b (mm)]]*X51)</f>
        <v>1.2365172912265094E-3</v>
      </c>
      <c r="M51" s="135">
        <f>Table1123456[[#This Row],[M (KN.mm)]]/(Table1123456[[#This Row],[b (mm)]]*Table1123456[[#This Row],[d (mm)]])</f>
        <v>1.9558117647058824</v>
      </c>
      <c r="N51" s="135">
        <f>Table1123456[[#This Row],[M (KN.mm)]]/(Table1123456[[#This Row],[b (mm)]]*Table1123456[[#This Row],[h (mm)]])</f>
        <v>1.7016849071207432</v>
      </c>
      <c r="O51" s="145">
        <f>Table1123456[[#This Row],[M (KN.mm)]]/(Table1123456[[#This Row],[b (mm)]]*Table1123456[[#This Row],[h (mm)]]*Table1123456[[#This Row],[L(mm)]])</f>
        <v>5.3816726980415654E-4</v>
      </c>
      <c r="P51" s="145">
        <f>Table1123456[[#This Row],[M (KN.mm)]]/(Table1123456[[#This Row],[b (mm)]]*Table1123456[[#This Row],[d (mm)]]*Table1123456[[#This Row],[L(mm)]])</f>
        <v>6.1853629497339731E-4</v>
      </c>
      <c r="Q51" s="145">
        <f>Table1123456[[#This Row],[M (KN.mm)]]/(Table1123456[[#This Row],[b (mm)]]*Table1123456[[#This Row],[h (mm)]]*Table1123456[[#This Row],[L(mm)]]*Table1123456[[#This Row],[fc (Mpa)]])</f>
        <v>8.3050504599406871E-6</v>
      </c>
      <c r="R51" s="145">
        <f>Table1123456[[#This Row],[M (KN.mm)]]/(Table1123456[[#This Row],[b (mm)]]*Table1123456[[#This Row],[h (mm)]]*Table1123456[[#This Row],[L(mm)]]/2)</f>
        <v>1.0763345396083131E-3</v>
      </c>
      <c r="S51" s="145">
        <f>Table1123456[[#This Row],[M (KN.mm)]]/(Table1123456[[#This Row],[a (mm)]]*Table1123456[[#This Row],[b (mm)]]*Table1123456[[#This Row],[h (mm)]]*Table1123456[[#This Row],[L(mm)]]/2)</f>
        <v>6.8048791473045811E-7</v>
      </c>
      <c r="T51" s="111">
        <f>G51/($AJ$5*AF51*0.001*Table1123456[[#This Row],[pho (%)]])</f>
        <v>1.7478707168986294E-6</v>
      </c>
      <c r="U51" s="145">
        <f>Table1123456[[#This Row],[M (KN.mm)]]/(Table1123456[[#This Row],[b (mm)]]*Table1123456[[#This Row],[d (mm)]]*Table1123456[[#This Row],[pho (%)]])</f>
        <v>1.629843137254902</v>
      </c>
      <c r="V51" s="145">
        <f>E51/(Table1123456[[#This Row],[b (mm)]]*Y51*Table1123456[[#This Row],[fc (Mpa)]]*Table1123456[[#This Row],[a (mm)]])</f>
        <v>1.0496642846424519E-8</v>
      </c>
      <c r="W51" s="111">
        <f>2.99*Table1123456[[#This Row],[d (mm)]]</f>
        <v>1581.71</v>
      </c>
      <c r="X51" s="160">
        <v>529</v>
      </c>
      <c r="Y51" s="160">
        <v>608</v>
      </c>
      <c r="Z51" s="160">
        <v>408</v>
      </c>
      <c r="AA51" s="160">
        <v>64.8</v>
      </c>
      <c r="AB51" s="160">
        <v>2581</v>
      </c>
      <c r="AC51" s="160">
        <v>1.2</v>
      </c>
      <c r="AD51" s="160">
        <v>525</v>
      </c>
      <c r="AE51" s="111">
        <f>(1/3-0.21*(MIN(Table1123456[[#This Row],[b (mm)]],Y51)/MAX(Table1123456[[#This Row],[b (mm)]],Y51))*(MIN(Table1123456[[#This Row],[b (mm)]],Y51)^4/(12*MAX(Table1123456[[#This Row],[b (mm)]],Y51)^4)))*MAX(Table1123456[[#This Row],[b (mm)]],Y51)*MIN(Table1123456[[#This Row],[b (mm)]],Y51)^3</f>
        <v>13666240930.700037</v>
      </c>
      <c r="AF51" s="111">
        <f>Table1123456[[#This Row],[b (mm)]]*Y51^3/12</f>
        <v>7641694208</v>
      </c>
      <c r="AG51" s="160">
        <v>3162</v>
      </c>
      <c r="AH51" s="138"/>
      <c r="AI51" s="126"/>
    </row>
    <row r="52" spans="1:37" s="1" customFormat="1" x14ac:dyDescent="0.25">
      <c r="A52" s="158" t="s">
        <v>100</v>
      </c>
      <c r="B52" s="147">
        <v>1</v>
      </c>
      <c r="C52" s="111">
        <v>63</v>
      </c>
      <c r="D52" s="111">
        <f>Table1123456[[#This Row],[a (mm)]]/Table1123456[[#This Row],[d (mm)]]</f>
        <v>2.97</v>
      </c>
      <c r="E52" s="160">
        <v>208.16640000000001</v>
      </c>
      <c r="F52" s="137">
        <f>Table1123456[[#This Row],[d (mm)]]</f>
        <v>684</v>
      </c>
      <c r="G52" s="135">
        <f t="shared" si="3"/>
        <v>422885.87827200006</v>
      </c>
      <c r="H52" s="135">
        <f t="shared" si="0"/>
        <v>8.5726110650769416E-7</v>
      </c>
      <c r="I52" s="135">
        <f>G52/(Table1123456[[#This Row],[b (mm)]]*X52^2)</f>
        <v>1.7792921674264404E-3</v>
      </c>
      <c r="J52" s="135">
        <f t="shared" si="1"/>
        <v>0.26076772871061626</v>
      </c>
      <c r="K52" s="135">
        <f t="shared" si="2"/>
        <v>2.0047909217899063E-7</v>
      </c>
      <c r="L52" s="135">
        <f>E52/(Table1123456[[#This Row],[b (mm)]]*X52)</f>
        <v>5.9908827186075429E-4</v>
      </c>
      <c r="M52" s="135">
        <f>Table1123456[[#This Row],[M (KN.mm)]]/(Table1123456[[#This Row],[b (mm)]]*Table1123456[[#This Row],[d (mm)]])</f>
        <v>1.2170358425196852</v>
      </c>
      <c r="N52" s="135">
        <f>Table1123456[[#This Row],[M (KN.mm)]]/(Table1123456[[#This Row],[b (mm)]]*Table1123456[[#This Row],[h (mm)]])</f>
        <v>1.092457370450741</v>
      </c>
      <c r="O52" s="145">
        <f>Table1123456[[#This Row],[M (KN.mm)]]/(Table1123456[[#This Row],[b (mm)]]*Table1123456[[#This Row],[h (mm)]]*Table1123456[[#This Row],[L(mm)]])</f>
        <v>2.6881332934319417E-4</v>
      </c>
      <c r="P52" s="145">
        <f>Table1123456[[#This Row],[M (KN.mm)]]/(Table1123456[[#This Row],[b (mm)]]*Table1123456[[#This Row],[d (mm)]]*Table1123456[[#This Row],[L(mm)]])</f>
        <v>2.9946748093496192E-4</v>
      </c>
      <c r="Q52" s="145">
        <f>Table1123456[[#This Row],[M (KN.mm)]]/(Table1123456[[#This Row],[b (mm)]]*Table1123456[[#This Row],[h (mm)]]*Table1123456[[#This Row],[L(mm)]]*Table1123456[[#This Row],[fc (Mpa)]])</f>
        <v>3.9473322957884609E-6</v>
      </c>
      <c r="R52" s="145">
        <f>Table1123456[[#This Row],[M (KN.mm)]]/(Table1123456[[#This Row],[b (mm)]]*Table1123456[[#This Row],[h (mm)]]*Table1123456[[#This Row],[L(mm)]]/2)</f>
        <v>5.3762665868638834E-4</v>
      </c>
      <c r="S52" s="145">
        <f>Table1123456[[#This Row],[M (KN.mm)]]/(Table1123456[[#This Row],[a (mm)]]*Table1123456[[#This Row],[b (mm)]]*Table1123456[[#This Row],[h (mm)]]*Table1123456[[#This Row],[L(mm)]]/2)</f>
        <v>2.6464777339003501E-7</v>
      </c>
      <c r="T52" s="111">
        <f>G52/($AJ$5*AF52*0.001*Table1123456[[#This Row],[pho (%)]])</f>
        <v>6.5943162039053399E-7</v>
      </c>
      <c r="U52" s="145">
        <f>Table1123456[[#This Row],[M (KN.mm)]]/(Table1123456[[#This Row],[b (mm)]]*Table1123456[[#This Row],[d (mm)]]*Table1123456[[#This Row],[pho (%)]])</f>
        <v>0.93618141732283466</v>
      </c>
      <c r="V52" s="145">
        <f>E52/(Table1123456[[#This Row],[b (mm)]]*Y52*Table1123456[[#This Row],[fc (Mpa)]]*Table1123456[[#This Row],[a (mm)]])</f>
        <v>3.8871588186420848E-9</v>
      </c>
      <c r="W52" s="111">
        <f>2.97*Table1123456[[#This Row],[d (mm)]]</f>
        <v>2031.4800000000002</v>
      </c>
      <c r="X52" s="160">
        <v>684</v>
      </c>
      <c r="Y52" s="160">
        <v>762</v>
      </c>
      <c r="Z52" s="160">
        <v>508</v>
      </c>
      <c r="AA52" s="160">
        <v>68.099999999999994</v>
      </c>
      <c r="AB52" s="160">
        <v>4516</v>
      </c>
      <c r="AC52" s="160">
        <v>1.3</v>
      </c>
      <c r="AD52" s="160">
        <v>525</v>
      </c>
      <c r="AE52" s="111">
        <f>(1/3-0.21*(MIN(Table1123456[[#This Row],[b (mm)]],Y52)/MAX(Table1123456[[#This Row],[b (mm)]],Y52))*(MIN(Table1123456[[#This Row],[b (mm)]],Y52)^4/(12*MAX(Table1123456[[#This Row],[b (mm)]],Y52)^4)))*MAX(Table1123456[[#This Row],[b (mm)]],Y52)*MIN(Table1123456[[#This Row],[b (mm)]],Y52)^3</f>
        <v>33068302099.026169</v>
      </c>
      <c r="AF52" s="111">
        <f>Table1123456[[#This Row],[b (mm)]]*Y52^3/12</f>
        <v>18730414152</v>
      </c>
      <c r="AG52" s="160">
        <v>4064</v>
      </c>
    </row>
    <row r="53" spans="1:37" s="1" customFormat="1" x14ac:dyDescent="0.25">
      <c r="A53" s="158" t="s">
        <v>100</v>
      </c>
      <c r="B53" s="147">
        <v>2</v>
      </c>
      <c r="C53" s="111">
        <v>64</v>
      </c>
      <c r="D53" s="111">
        <f>Table1123456[[#This Row],[a (mm)]]/Table1123456[[#This Row],[d (mm)]]</f>
        <v>2.97</v>
      </c>
      <c r="E53" s="160">
        <v>222.40000000000003</v>
      </c>
      <c r="F53" s="137">
        <f>Table1123456[[#This Row],[d (mm)]]</f>
        <v>684</v>
      </c>
      <c r="G53" s="135">
        <f t="shared" si="3"/>
        <v>451801.15200000012</v>
      </c>
      <c r="H53" s="135">
        <f t="shared" si="0"/>
        <v>9.158772505424084E-7</v>
      </c>
      <c r="I53" s="135">
        <f>G53/(Table1123456[[#This Row],[b (mm)]]*X53^2)</f>
        <v>1.9009531703273938E-3</v>
      </c>
      <c r="J53" s="135">
        <f t="shared" si="1"/>
        <v>0.27859800075920543</v>
      </c>
      <c r="K53" s="135">
        <f t="shared" si="2"/>
        <v>2.1418706429379341E-7</v>
      </c>
      <c r="L53" s="135">
        <f>E53/(Table1123456[[#This Row],[b (mm)]]*X53)</f>
        <v>6.4005157250080586E-4</v>
      </c>
      <c r="M53" s="135">
        <f>Table1123456[[#This Row],[M (KN.mm)]]/(Table1123456[[#This Row],[b (mm)]]*Table1123456[[#This Row],[d (mm)]])</f>
        <v>1.3002519685039373</v>
      </c>
      <c r="N53" s="135">
        <f>Table1123456[[#This Row],[M (KN.mm)]]/(Table1123456[[#This Row],[b (mm)]]*Table1123456[[#This Row],[h (mm)]])</f>
        <v>1.1671553103106209</v>
      </c>
      <c r="O53" s="145">
        <f>Table1123456[[#This Row],[M (KN.mm)]]/(Table1123456[[#This Row],[b (mm)]]*Table1123456[[#This Row],[h (mm)]]*Table1123456[[#This Row],[L(mm)]])</f>
        <v>2.8719372793076302E-4</v>
      </c>
      <c r="P53" s="145">
        <f>Table1123456[[#This Row],[M (KN.mm)]]/(Table1123456[[#This Row],[b (mm)]]*Table1123456[[#This Row],[d (mm)]]*Table1123456[[#This Row],[L(mm)]])</f>
        <v>3.1994388988777983E-4</v>
      </c>
      <c r="Q53" s="145">
        <f>Table1123456[[#This Row],[M (KN.mm)]]/(Table1123456[[#This Row],[b (mm)]]*Table1123456[[#This Row],[h (mm)]]*Table1123456[[#This Row],[L(mm)]]*Table1123456[[#This Row],[fc (Mpa)]])</f>
        <v>4.2172353587483559E-6</v>
      </c>
      <c r="R53" s="145">
        <f>Table1123456[[#This Row],[M (KN.mm)]]/(Table1123456[[#This Row],[b (mm)]]*Table1123456[[#This Row],[h (mm)]]*Table1123456[[#This Row],[L(mm)]]/2)</f>
        <v>5.7438745586152603E-4</v>
      </c>
      <c r="S53" s="145">
        <f>Table1123456[[#This Row],[M (KN.mm)]]/(Table1123456[[#This Row],[a (mm)]]*Table1123456[[#This Row],[b (mm)]]*Table1123456[[#This Row],[h (mm)]]*Table1123456[[#This Row],[L(mm)]]/2)</f>
        <v>2.8274334763892629E-7</v>
      </c>
      <c r="T53" s="111">
        <f>G53/($AJ$5*AF53*0.001*Table1123456[[#This Row],[pho (%)]])</f>
        <v>7.0452096195569881E-7</v>
      </c>
      <c r="U53" s="145">
        <f>Table1123456[[#This Row],[M (KN.mm)]]/(Table1123456[[#This Row],[b (mm)]]*Table1123456[[#This Row],[d (mm)]]*Table1123456[[#This Row],[pho (%)]])</f>
        <v>1.0001938219261055</v>
      </c>
      <c r="V53" s="145">
        <f>E53/(Table1123456[[#This Row],[b (mm)]]*Y53*Table1123456[[#This Row],[fc (Mpa)]]*Table1123456[[#This Row],[a (mm)]])</f>
        <v>4.1529474558141936E-9</v>
      </c>
      <c r="W53" s="111">
        <f>2.97*Table1123456[[#This Row],[d (mm)]]</f>
        <v>2031.4800000000002</v>
      </c>
      <c r="X53" s="160">
        <v>684</v>
      </c>
      <c r="Y53" s="160">
        <v>762</v>
      </c>
      <c r="Z53" s="160">
        <v>508</v>
      </c>
      <c r="AA53" s="160">
        <v>68.099999999999994</v>
      </c>
      <c r="AB53" s="160">
        <v>4516</v>
      </c>
      <c r="AC53" s="160">
        <v>1.3</v>
      </c>
      <c r="AD53" s="160">
        <v>525</v>
      </c>
      <c r="AE53" s="111">
        <f>(1/3-0.21*(MIN(Table1123456[[#This Row],[b (mm)]],Y53)/MAX(Table1123456[[#This Row],[b (mm)]],Y53))*(MIN(Table1123456[[#This Row],[b (mm)]],Y53)^4/(12*MAX(Table1123456[[#This Row],[b (mm)]],Y53)^4)))*MAX(Table1123456[[#This Row],[b (mm)]],Y53)*MIN(Table1123456[[#This Row],[b (mm)]],Y53)^3</f>
        <v>33068302099.026169</v>
      </c>
      <c r="AF53" s="111">
        <f>Table1123456[[#This Row],[b (mm)]]*Y53^3/12</f>
        <v>18730414152</v>
      </c>
      <c r="AG53" s="160">
        <v>4064</v>
      </c>
    </row>
    <row r="54" spans="1:37" s="1" customFormat="1" x14ac:dyDescent="0.25">
      <c r="A54" s="158" t="s">
        <v>100</v>
      </c>
      <c r="B54" s="147">
        <v>3</v>
      </c>
      <c r="C54" s="111">
        <v>65</v>
      </c>
      <c r="D54" s="111">
        <f>Table1123456[[#This Row],[a (mm)]]/Table1123456[[#This Row],[d (mm)]]</f>
        <v>2.97</v>
      </c>
      <c r="E54" s="160">
        <v>244.64000000000001</v>
      </c>
      <c r="F54" s="137">
        <f>Table1123456[[#This Row],[d (mm)]]</f>
        <v>684</v>
      </c>
      <c r="G54" s="135">
        <f t="shared" si="3"/>
        <v>496981.26720000012</v>
      </c>
      <c r="H54" s="135">
        <f t="shared" ref="H54:H63" si="4">G54/($AJ$5*AF54*0.001)</f>
        <v>1.0074649755966492E-6</v>
      </c>
      <c r="I54" s="135">
        <f>G54/(Table1123456[[#This Row],[b (mm)]]*X54^2)</f>
        <v>2.091048487360133E-3</v>
      </c>
      <c r="J54" s="135">
        <f t="shared" ref="J54:J63" si="5">G54/(AB54*AD54*X54*0.001)</f>
        <v>0.30645780083512597</v>
      </c>
      <c r="K54" s="135">
        <f t="shared" ref="K54:K63" si="6">E54/($AJ$4*AE54*0.001)</f>
        <v>2.3560577072317273E-7</v>
      </c>
      <c r="L54" s="135">
        <f>E54/(Table1123456[[#This Row],[b (mm)]]*X54)</f>
        <v>7.0405672975088645E-4</v>
      </c>
      <c r="M54" s="135">
        <f>Table1123456[[#This Row],[M (KN.mm)]]/(Table1123456[[#This Row],[b (mm)]]*Table1123456[[#This Row],[d (mm)]])</f>
        <v>1.4302771653543311</v>
      </c>
      <c r="N54" s="135">
        <f>Table1123456[[#This Row],[M (KN.mm)]]/(Table1123456[[#This Row],[b (mm)]]*Table1123456[[#This Row],[h (mm)]])</f>
        <v>1.2838708413416831</v>
      </c>
      <c r="O54" s="145">
        <f>Table1123456[[#This Row],[M (KN.mm)]]/(Table1123456[[#This Row],[b (mm)]]*Table1123456[[#This Row],[h (mm)]]*Table1123456[[#This Row],[L(mm)]])</f>
        <v>3.1591310072383934E-4</v>
      </c>
      <c r="P54" s="145">
        <f>Table1123456[[#This Row],[M (KN.mm)]]/(Table1123456[[#This Row],[b (mm)]]*Table1123456[[#This Row],[d (mm)]]*Table1123456[[#This Row],[L(mm)]])</f>
        <v>3.5193827887655785E-4</v>
      </c>
      <c r="Q54" s="145">
        <f>Table1123456[[#This Row],[M (KN.mm)]]/(Table1123456[[#This Row],[b (mm)]]*Table1123456[[#This Row],[h (mm)]]*Table1123456[[#This Row],[L(mm)]]*Table1123456[[#This Row],[fc (Mpa)]])</f>
        <v>4.6389588946231911E-6</v>
      </c>
      <c r="R54" s="145">
        <f>Table1123456[[#This Row],[M (KN.mm)]]/(Table1123456[[#This Row],[b (mm)]]*Table1123456[[#This Row],[h (mm)]]*Table1123456[[#This Row],[L(mm)]]/2)</f>
        <v>6.3182620144767868E-4</v>
      </c>
      <c r="S54" s="145">
        <f>Table1123456[[#This Row],[M (KN.mm)]]/(Table1123456[[#This Row],[a (mm)]]*Table1123456[[#This Row],[b (mm)]]*Table1123456[[#This Row],[h (mm)]]*Table1123456[[#This Row],[L(mm)]]/2)</f>
        <v>3.1101768240281896E-7</v>
      </c>
      <c r="T54" s="111">
        <f>G54/($AJ$5*AF54*0.001*Table1123456[[#This Row],[pho (%)]])</f>
        <v>7.7497305815126864E-7</v>
      </c>
      <c r="U54" s="145">
        <f>Table1123456[[#This Row],[M (KN.mm)]]/(Table1123456[[#This Row],[b (mm)]]*Table1123456[[#This Row],[d (mm)]]*Table1123456[[#This Row],[pho (%)]])</f>
        <v>1.100213204118716</v>
      </c>
      <c r="V54" s="145">
        <f>E54/(Table1123456[[#This Row],[b (mm)]]*Y54*Table1123456[[#This Row],[fc (Mpa)]]*Table1123456[[#This Row],[a (mm)]])</f>
        <v>4.5682422013956127E-9</v>
      </c>
      <c r="W54" s="111">
        <f>2.97*Table1123456[[#This Row],[d (mm)]]</f>
        <v>2031.4800000000002</v>
      </c>
      <c r="X54" s="160">
        <v>684</v>
      </c>
      <c r="Y54" s="160">
        <v>762</v>
      </c>
      <c r="Z54" s="160">
        <v>508</v>
      </c>
      <c r="AA54" s="160">
        <v>68.099999999999994</v>
      </c>
      <c r="AB54" s="160">
        <v>4516</v>
      </c>
      <c r="AC54" s="160">
        <v>1.3</v>
      </c>
      <c r="AD54" s="160">
        <v>525</v>
      </c>
      <c r="AE54" s="111">
        <f>(1/3-0.21*(MIN(Table1123456[[#This Row],[b (mm)]],Y54)/MAX(Table1123456[[#This Row],[b (mm)]],Y54))*(MIN(Table1123456[[#This Row],[b (mm)]],Y54)^4/(12*MAX(Table1123456[[#This Row],[b (mm)]],Y54)^4)))*MAX(Table1123456[[#This Row],[b (mm)]],Y54)*MIN(Table1123456[[#This Row],[b (mm)]],Y54)^3</f>
        <v>33068302099.026169</v>
      </c>
      <c r="AF54" s="111">
        <f>Table1123456[[#This Row],[b (mm)]]*Y54^3/12</f>
        <v>18730414152</v>
      </c>
      <c r="AG54" s="160">
        <v>4064</v>
      </c>
    </row>
    <row r="55" spans="1:37" x14ac:dyDescent="0.25">
      <c r="A55" s="158" t="s">
        <v>100</v>
      </c>
      <c r="B55" s="147">
        <v>4</v>
      </c>
      <c r="C55" s="111">
        <v>66</v>
      </c>
      <c r="D55" s="111">
        <f>Table1123456[[#This Row],[a (mm)]]/Table1123456[[#This Row],[d (mm)]]</f>
        <v>2.97</v>
      </c>
      <c r="E55" s="111">
        <v>266.88</v>
      </c>
      <c r="F55" s="137">
        <f>Table1123456[[#This Row],[d (mm)]]</f>
        <v>684</v>
      </c>
      <c r="G55" s="135">
        <f t="shared" ref="G55:G63" si="7">E55*W55</f>
        <v>542161.3824</v>
      </c>
      <c r="H55" s="135">
        <f t="shared" si="4"/>
        <v>1.0990527006508899E-6</v>
      </c>
      <c r="I55" s="135">
        <f>G55/(Table1123456[[#This Row],[b (mm)]]*X55^2)</f>
        <v>2.281143804392872E-3</v>
      </c>
      <c r="J55" s="135">
        <f t="shared" si="5"/>
        <v>0.3343176009110464</v>
      </c>
      <c r="K55" s="135">
        <f t="shared" si="6"/>
        <v>2.5702447715255206E-7</v>
      </c>
      <c r="L55" s="135">
        <f>E55/(Table1123456[[#This Row],[b (mm)]]*X55)</f>
        <v>7.6806188700096693E-4</v>
      </c>
      <c r="M55" s="135">
        <f>Table1123456[[#This Row],[M (KN.mm)]]/(Table1123456[[#This Row],[b (mm)]]*Table1123456[[#This Row],[d (mm)]])</f>
        <v>1.5603023622047245</v>
      </c>
      <c r="N55" s="135">
        <f>Table1123456[[#This Row],[M (KN.mm)]]/(Table1123456[[#This Row],[b (mm)]]*Table1123456[[#This Row],[h (mm)]])</f>
        <v>1.4005863723727447</v>
      </c>
      <c r="O55" s="145">
        <f>Table1123456[[#This Row],[M (KN.mm)]]/(Table1123456[[#This Row],[b (mm)]]*Table1123456[[#This Row],[h (mm)]]*Table1123456[[#This Row],[L(mm)]])</f>
        <v>3.4463247351691555E-4</v>
      </c>
      <c r="P55" s="145">
        <f>Table1123456[[#This Row],[M (KN.mm)]]/(Table1123456[[#This Row],[b (mm)]]*Table1123456[[#This Row],[d (mm)]]*Table1123456[[#This Row],[L(mm)]])</f>
        <v>3.8393266786533576E-4</v>
      </c>
      <c r="Q55" s="145">
        <f>Table1123456[[#This Row],[M (KN.mm)]]/(Table1123456[[#This Row],[b (mm)]]*Table1123456[[#This Row],[h (mm)]]*Table1123456[[#This Row],[L(mm)]]*Table1123456[[#This Row],[fc (Mpa)]])</f>
        <v>5.0606824304980254E-6</v>
      </c>
      <c r="R55" s="145">
        <f>Table1123456[[#This Row],[M (KN.mm)]]/(Table1123456[[#This Row],[b (mm)]]*Table1123456[[#This Row],[h (mm)]]*Table1123456[[#This Row],[L(mm)]]/2)</f>
        <v>6.8926494703383111E-4</v>
      </c>
      <c r="S55" s="145">
        <f>Table1123456[[#This Row],[M (KN.mm)]]/(Table1123456[[#This Row],[a (mm)]]*Table1123456[[#This Row],[b (mm)]]*Table1123456[[#This Row],[h (mm)]]*Table1123456[[#This Row],[L(mm)]]/2)</f>
        <v>3.3929201716671146E-7</v>
      </c>
      <c r="T55" s="111">
        <f>G55/($AJ$5*AF55*0.001*Table1123456[[#This Row],[pho (%)]])</f>
        <v>8.4542515434683836E-7</v>
      </c>
      <c r="U55" s="145">
        <f>Table1123456[[#This Row],[M (KN.mm)]]/(Table1123456[[#This Row],[b (mm)]]*Table1123456[[#This Row],[d (mm)]]*Table1123456[[#This Row],[pho (%)]])</f>
        <v>1.2002325863113263</v>
      </c>
      <c r="V55" s="145">
        <f>E55/(Table1123456[[#This Row],[b (mm)]]*Y55*Table1123456[[#This Row],[fc (Mpa)]]*Table1123456[[#This Row],[a (mm)]])</f>
        <v>4.9835369469770318E-9</v>
      </c>
      <c r="W55" s="111">
        <f>2.97*Table1123456[[#This Row],[d (mm)]]</f>
        <v>2031.4800000000002</v>
      </c>
      <c r="X55" s="160">
        <v>684</v>
      </c>
      <c r="Y55" s="160">
        <v>762</v>
      </c>
      <c r="Z55" s="160">
        <v>508</v>
      </c>
      <c r="AA55" s="160">
        <v>68.099999999999994</v>
      </c>
      <c r="AB55" s="160">
        <v>4516</v>
      </c>
      <c r="AC55" s="160">
        <v>1.3</v>
      </c>
      <c r="AD55" s="160">
        <v>525</v>
      </c>
      <c r="AE55" s="111">
        <f>(1/3-0.21*(MIN(Table1123456[[#This Row],[b (mm)]],Y55)/MAX(Table1123456[[#This Row],[b (mm)]],Y55))*(MIN(Table1123456[[#This Row],[b (mm)]],Y55)^4/(12*MAX(Table1123456[[#This Row],[b (mm)]],Y55)^4)))*MAX(Table1123456[[#This Row],[b (mm)]],Y55)*MIN(Table1123456[[#This Row],[b (mm)]],Y55)^3</f>
        <v>33068302099.026169</v>
      </c>
      <c r="AF55" s="111">
        <f>Table1123456[[#This Row],[b (mm)]]*Y55^3/12</f>
        <v>18730414152</v>
      </c>
      <c r="AG55" s="160">
        <v>4064</v>
      </c>
      <c r="AH55" s="138"/>
      <c r="AI55" s="126"/>
    </row>
    <row r="56" spans="1:37" x14ac:dyDescent="0.25">
      <c r="A56" s="158" t="s">
        <v>100</v>
      </c>
      <c r="B56" s="147">
        <v>5</v>
      </c>
      <c r="C56" s="111">
        <v>67</v>
      </c>
      <c r="D56" s="111">
        <f>Table1123456[[#This Row],[a (mm)]]/Table1123456[[#This Row],[d (mm)]]</f>
        <v>2.97</v>
      </c>
      <c r="E56" s="111">
        <v>289.12</v>
      </c>
      <c r="F56" s="137">
        <f>Table1123456[[#This Row],[d (mm)]]</f>
        <v>684</v>
      </c>
      <c r="G56" s="135">
        <f t="shared" si="7"/>
        <v>587341.49760000012</v>
      </c>
      <c r="H56" s="135">
        <f t="shared" si="4"/>
        <v>1.1906404257051309E-6</v>
      </c>
      <c r="I56" s="135">
        <f>G56/(Table1123456[[#This Row],[b (mm)]]*X56^2)</f>
        <v>2.4712391214256118E-3</v>
      </c>
      <c r="J56" s="135">
        <f t="shared" si="5"/>
        <v>0.36217740098696705</v>
      </c>
      <c r="K56" s="135">
        <f t="shared" si="6"/>
        <v>2.7844318358193138E-7</v>
      </c>
      <c r="L56" s="135">
        <f>E56/(Table1123456[[#This Row],[b (mm)]]*X56)</f>
        <v>8.3206704425104762E-4</v>
      </c>
      <c r="M56" s="135">
        <f>Table1123456[[#This Row],[M (KN.mm)]]/(Table1123456[[#This Row],[b (mm)]]*Table1123456[[#This Row],[d (mm)]])</f>
        <v>1.6903275590551186</v>
      </c>
      <c r="N56" s="135">
        <f>Table1123456[[#This Row],[M (KN.mm)]]/(Table1123456[[#This Row],[b (mm)]]*Table1123456[[#This Row],[h (mm)]])</f>
        <v>1.5173019034038071</v>
      </c>
      <c r="O56" s="145">
        <f>Table1123456[[#This Row],[M (KN.mm)]]/(Table1123456[[#This Row],[b (mm)]]*Table1123456[[#This Row],[h (mm)]]*Table1123456[[#This Row],[L(mm)]])</f>
        <v>3.7335184630999193E-4</v>
      </c>
      <c r="P56" s="145">
        <f>Table1123456[[#This Row],[M (KN.mm)]]/(Table1123456[[#This Row],[b (mm)]]*Table1123456[[#This Row],[d (mm)]]*Table1123456[[#This Row],[L(mm)]])</f>
        <v>4.1592705685411377E-4</v>
      </c>
      <c r="Q56" s="145">
        <f>Table1123456[[#This Row],[M (KN.mm)]]/(Table1123456[[#This Row],[b (mm)]]*Table1123456[[#This Row],[h (mm)]]*Table1123456[[#This Row],[L(mm)]]*Table1123456[[#This Row],[fc (Mpa)]])</f>
        <v>5.4824059663728623E-6</v>
      </c>
      <c r="R56" s="145">
        <f>Table1123456[[#This Row],[M (KN.mm)]]/(Table1123456[[#This Row],[b (mm)]]*Table1123456[[#This Row],[h (mm)]]*Table1123456[[#This Row],[L(mm)]]/2)</f>
        <v>7.4670369261998386E-4</v>
      </c>
      <c r="S56" s="145">
        <f>Table1123456[[#This Row],[M (KN.mm)]]/(Table1123456[[#This Row],[a (mm)]]*Table1123456[[#This Row],[b (mm)]]*Table1123456[[#This Row],[h (mm)]]*Table1123456[[#This Row],[L(mm)]]/2)</f>
        <v>3.6756635193060418E-7</v>
      </c>
      <c r="T56" s="111">
        <f>G56/($AJ$5*AF56*0.001*Table1123456[[#This Row],[pho (%)]])</f>
        <v>9.158772505424084E-7</v>
      </c>
      <c r="U56" s="145">
        <f>Table1123456[[#This Row],[M (KN.mm)]]/(Table1123456[[#This Row],[b (mm)]]*Table1123456[[#This Row],[d (mm)]]*Table1123456[[#This Row],[pho (%)]])</f>
        <v>1.3002519685039371</v>
      </c>
      <c r="V56" s="145">
        <f>E56/(Table1123456[[#This Row],[b (mm)]]*Y56*Table1123456[[#This Row],[fc (Mpa)]]*Table1123456[[#This Row],[a (mm)]])</f>
        <v>5.398831692558451E-9</v>
      </c>
      <c r="W56" s="111">
        <f>2.97*Table1123456[[#This Row],[d (mm)]]</f>
        <v>2031.4800000000002</v>
      </c>
      <c r="X56" s="160">
        <v>684</v>
      </c>
      <c r="Y56" s="160">
        <v>762</v>
      </c>
      <c r="Z56" s="160">
        <v>508</v>
      </c>
      <c r="AA56" s="160">
        <v>68.099999999999994</v>
      </c>
      <c r="AB56" s="160">
        <v>4516</v>
      </c>
      <c r="AC56" s="160">
        <v>1.3</v>
      </c>
      <c r="AD56" s="160">
        <v>525</v>
      </c>
      <c r="AE56" s="111">
        <f>(1/3-0.21*(MIN(Table1123456[[#This Row],[b (mm)]],Y56)/MAX(Table1123456[[#This Row],[b (mm)]],Y56))*(MIN(Table1123456[[#This Row],[b (mm)]],Y56)^4/(12*MAX(Table1123456[[#This Row],[b (mm)]],Y56)^4)))*MAX(Table1123456[[#This Row],[b (mm)]],Y56)*MIN(Table1123456[[#This Row],[b (mm)]],Y56)^3</f>
        <v>33068302099.026169</v>
      </c>
      <c r="AF56" s="111">
        <f>Table1123456[[#This Row],[b (mm)]]*Y56^3/12</f>
        <v>18730414152</v>
      </c>
      <c r="AG56" s="160">
        <v>4064</v>
      </c>
      <c r="AH56" s="138"/>
      <c r="AI56" s="126"/>
    </row>
    <row r="57" spans="1:37" x14ac:dyDescent="0.25">
      <c r="A57" s="158" t="s">
        <v>100</v>
      </c>
      <c r="B57" s="147">
        <v>6</v>
      </c>
      <c r="C57" s="111">
        <v>68</v>
      </c>
      <c r="D57" s="111">
        <f>Table1123456[[#This Row],[a (mm)]]/Table1123456[[#This Row],[d (mm)]]</f>
        <v>2.97</v>
      </c>
      <c r="E57" s="111">
        <v>311.36</v>
      </c>
      <c r="F57" s="137">
        <f>Table1123456[[#This Row],[d (mm)]]</f>
        <v>684</v>
      </c>
      <c r="G57" s="135">
        <f t="shared" si="7"/>
        <v>632521.61280000012</v>
      </c>
      <c r="H57" s="135">
        <f t="shared" si="4"/>
        <v>1.2822281507593716E-6</v>
      </c>
      <c r="I57" s="135">
        <f>G57/(Table1123456[[#This Row],[b (mm)]]*X57^2)</f>
        <v>2.6613344384583512E-3</v>
      </c>
      <c r="J57" s="135">
        <f t="shared" si="5"/>
        <v>0.39003720106288758</v>
      </c>
      <c r="K57" s="135">
        <f t="shared" si="6"/>
        <v>2.9986189001131076E-7</v>
      </c>
      <c r="L57" s="135">
        <f>E57/(Table1123456[[#This Row],[b (mm)]]*X57)</f>
        <v>8.9607220150112821E-4</v>
      </c>
      <c r="M57" s="135">
        <f>Table1123456[[#This Row],[M (KN.mm)]]/(Table1123456[[#This Row],[b (mm)]]*Table1123456[[#This Row],[d (mm)]])</f>
        <v>1.8203527559055122</v>
      </c>
      <c r="N57" s="135">
        <f>Table1123456[[#This Row],[M (KN.mm)]]/(Table1123456[[#This Row],[b (mm)]]*Table1123456[[#This Row],[h (mm)]])</f>
        <v>1.6340174344348692</v>
      </c>
      <c r="O57" s="145">
        <f>Table1123456[[#This Row],[M (KN.mm)]]/(Table1123456[[#This Row],[b (mm)]]*Table1123456[[#This Row],[h (mm)]]*Table1123456[[#This Row],[L(mm)]])</f>
        <v>4.020712191030682E-4</v>
      </c>
      <c r="P57" s="145">
        <f>Table1123456[[#This Row],[M (KN.mm)]]/(Table1123456[[#This Row],[b (mm)]]*Table1123456[[#This Row],[d (mm)]]*Table1123456[[#This Row],[L(mm)]])</f>
        <v>4.4792144584289179E-4</v>
      </c>
      <c r="Q57" s="145">
        <f>Table1123456[[#This Row],[M (KN.mm)]]/(Table1123456[[#This Row],[b (mm)]]*Table1123456[[#This Row],[h (mm)]]*Table1123456[[#This Row],[L(mm)]]*Table1123456[[#This Row],[fc (Mpa)]])</f>
        <v>5.9041295022476983E-6</v>
      </c>
      <c r="R57" s="145">
        <f>Table1123456[[#This Row],[M (KN.mm)]]/(Table1123456[[#This Row],[b (mm)]]*Table1123456[[#This Row],[h (mm)]]*Table1123456[[#This Row],[L(mm)]]/2)</f>
        <v>8.041424382061364E-4</v>
      </c>
      <c r="S57" s="145">
        <f>Table1123456[[#This Row],[M (KN.mm)]]/(Table1123456[[#This Row],[a (mm)]]*Table1123456[[#This Row],[b (mm)]]*Table1123456[[#This Row],[h (mm)]]*Table1123456[[#This Row],[L(mm)]]/2)</f>
        <v>3.958406866944968E-7</v>
      </c>
      <c r="T57" s="111">
        <f>G57/($AJ$5*AF57*0.001*Table1123456[[#This Row],[pho (%)]])</f>
        <v>9.8632934673797822E-7</v>
      </c>
      <c r="U57" s="145">
        <f>Table1123456[[#This Row],[M (KN.mm)]]/(Table1123456[[#This Row],[b (mm)]]*Table1123456[[#This Row],[d (mm)]]*Table1123456[[#This Row],[pho (%)]])</f>
        <v>1.4002713506965476</v>
      </c>
      <c r="V57" s="145">
        <f>E57/(Table1123456[[#This Row],[b (mm)]]*Y57*Table1123456[[#This Row],[fc (Mpa)]]*Table1123456[[#This Row],[a (mm)]])</f>
        <v>5.8141264381398709E-9</v>
      </c>
      <c r="W57" s="111">
        <f>2.97*Table1123456[[#This Row],[d (mm)]]</f>
        <v>2031.4800000000002</v>
      </c>
      <c r="X57" s="160">
        <v>684</v>
      </c>
      <c r="Y57" s="160">
        <v>762</v>
      </c>
      <c r="Z57" s="160">
        <v>508</v>
      </c>
      <c r="AA57" s="160">
        <v>68.099999999999994</v>
      </c>
      <c r="AB57" s="160">
        <v>4516</v>
      </c>
      <c r="AC57" s="160">
        <v>1.3</v>
      </c>
      <c r="AD57" s="160">
        <v>525</v>
      </c>
      <c r="AE57" s="111">
        <f>(1/3-0.21*(MIN(Table1123456[[#This Row],[b (mm)]],Y57)/MAX(Table1123456[[#This Row],[b (mm)]],Y57))*(MIN(Table1123456[[#This Row],[b (mm)]],Y57)^4/(12*MAX(Table1123456[[#This Row],[b (mm)]],Y57)^4)))*MAX(Table1123456[[#This Row],[b (mm)]],Y57)*MIN(Table1123456[[#This Row],[b (mm)]],Y57)^3</f>
        <v>33068302099.026169</v>
      </c>
      <c r="AF57" s="111">
        <f>Table1123456[[#This Row],[b (mm)]]*Y57^3/12</f>
        <v>18730414152</v>
      </c>
      <c r="AG57" s="160">
        <v>4064</v>
      </c>
      <c r="AH57" s="138"/>
      <c r="AI57" s="126"/>
    </row>
    <row r="58" spans="1:37" x14ac:dyDescent="0.25">
      <c r="A58" s="158" t="s">
        <v>100</v>
      </c>
      <c r="B58" s="147">
        <v>7</v>
      </c>
      <c r="C58" s="111">
        <v>69</v>
      </c>
      <c r="D58" s="111">
        <f>Table1123456[[#This Row],[a (mm)]]/Table1123456[[#This Row],[d (mm)]]</f>
        <v>2.97</v>
      </c>
      <c r="E58" s="111">
        <v>333.6</v>
      </c>
      <c r="F58" s="137">
        <f>Table1123456[[#This Row],[d (mm)]]</f>
        <v>684</v>
      </c>
      <c r="G58" s="135">
        <f t="shared" si="7"/>
        <v>677701.72800000012</v>
      </c>
      <c r="H58" s="135">
        <f t="shared" si="4"/>
        <v>1.3738158758136126E-6</v>
      </c>
      <c r="I58" s="135">
        <f>G58/(Table1123456[[#This Row],[b (mm)]]*X58^2)</f>
        <v>2.8514297554910906E-3</v>
      </c>
      <c r="J58" s="135">
        <f t="shared" si="5"/>
        <v>0.41789700113880812</v>
      </c>
      <c r="K58" s="135">
        <f t="shared" si="6"/>
        <v>3.2128059644069009E-7</v>
      </c>
      <c r="L58" s="135">
        <f>E58/(Table1123456[[#This Row],[b (mm)]]*X58)</f>
        <v>9.600773587512088E-4</v>
      </c>
      <c r="M58" s="135">
        <f>Table1123456[[#This Row],[M (KN.mm)]]/(Table1123456[[#This Row],[b (mm)]]*Table1123456[[#This Row],[d (mm)]])</f>
        <v>1.9503779527559058</v>
      </c>
      <c r="N58" s="135">
        <f>Table1123456[[#This Row],[M (KN.mm)]]/(Table1123456[[#This Row],[b (mm)]]*Table1123456[[#This Row],[h (mm)]])</f>
        <v>1.7507329654659312</v>
      </c>
      <c r="O58" s="145">
        <f>Table1123456[[#This Row],[M (KN.mm)]]/(Table1123456[[#This Row],[b (mm)]]*Table1123456[[#This Row],[h (mm)]]*Table1123456[[#This Row],[L(mm)]])</f>
        <v>4.3079059189614452E-4</v>
      </c>
      <c r="P58" s="145">
        <f>Table1123456[[#This Row],[M (KN.mm)]]/(Table1123456[[#This Row],[b (mm)]]*Table1123456[[#This Row],[d (mm)]]*Table1123456[[#This Row],[L(mm)]])</f>
        <v>4.7991583483166975E-4</v>
      </c>
      <c r="Q58" s="145">
        <f>Table1123456[[#This Row],[M (KN.mm)]]/(Table1123456[[#This Row],[b (mm)]]*Table1123456[[#This Row],[h (mm)]]*Table1123456[[#This Row],[L(mm)]]*Table1123456[[#This Row],[fc (Mpa)]])</f>
        <v>6.3258530381225335E-6</v>
      </c>
      <c r="R58" s="145">
        <f>Table1123456[[#This Row],[M (KN.mm)]]/(Table1123456[[#This Row],[b (mm)]]*Table1123456[[#This Row],[h (mm)]]*Table1123456[[#This Row],[L(mm)]]/2)</f>
        <v>8.6158118379228905E-4</v>
      </c>
      <c r="S58" s="145">
        <f>Table1123456[[#This Row],[M (KN.mm)]]/(Table1123456[[#This Row],[a (mm)]]*Table1123456[[#This Row],[b (mm)]]*Table1123456[[#This Row],[h (mm)]]*Table1123456[[#This Row],[L(mm)]]/2)</f>
        <v>4.2411502145838941E-7</v>
      </c>
      <c r="T58" s="111">
        <f>G58/($AJ$5*AF58*0.001*Table1123456[[#This Row],[pho (%)]])</f>
        <v>1.0567814429335481E-6</v>
      </c>
      <c r="U58" s="145">
        <f>Table1123456[[#This Row],[M (KN.mm)]]/(Table1123456[[#This Row],[b (mm)]]*Table1123456[[#This Row],[d (mm)]]*Table1123456[[#This Row],[pho (%)]])</f>
        <v>1.5002907328891582</v>
      </c>
      <c r="V58" s="145">
        <f>E58/(Table1123456[[#This Row],[b (mm)]]*Y58*Table1123456[[#This Row],[fc (Mpa)]]*Table1123456[[#This Row],[a (mm)]])</f>
        <v>6.22942118372129E-9</v>
      </c>
      <c r="W58" s="111">
        <f>2.97*Table1123456[[#This Row],[d (mm)]]</f>
        <v>2031.4800000000002</v>
      </c>
      <c r="X58" s="160">
        <v>684</v>
      </c>
      <c r="Y58" s="160">
        <v>762</v>
      </c>
      <c r="Z58" s="160">
        <v>508</v>
      </c>
      <c r="AA58" s="160">
        <v>68.099999999999994</v>
      </c>
      <c r="AB58" s="160">
        <v>4516</v>
      </c>
      <c r="AC58" s="160">
        <v>1.3</v>
      </c>
      <c r="AD58" s="160">
        <v>525</v>
      </c>
      <c r="AE58" s="111">
        <f>(1/3-0.21*(MIN(Table1123456[[#This Row],[b (mm)]],Y58)/MAX(Table1123456[[#This Row],[b (mm)]],Y58))*(MIN(Table1123456[[#This Row],[b (mm)]],Y58)^4/(12*MAX(Table1123456[[#This Row],[b (mm)]],Y58)^4)))*MAX(Table1123456[[#This Row],[b (mm)]],Y58)*MIN(Table1123456[[#This Row],[b (mm)]],Y58)^3</f>
        <v>33068302099.026169</v>
      </c>
      <c r="AF58" s="111">
        <f>Table1123456[[#This Row],[b (mm)]]*Y58^3/12</f>
        <v>18730414152</v>
      </c>
      <c r="AG58" s="160">
        <v>4064</v>
      </c>
      <c r="AH58" s="138"/>
      <c r="AI58" s="126"/>
    </row>
    <row r="59" spans="1:37" x14ac:dyDescent="0.25">
      <c r="A59" s="158" t="s">
        <v>100</v>
      </c>
      <c r="B59" s="147">
        <v>8</v>
      </c>
      <c r="C59" s="111">
        <v>70</v>
      </c>
      <c r="D59" s="111">
        <f>Table1123456[[#This Row],[a (mm)]]/Table1123456[[#This Row],[d (mm)]]</f>
        <v>2.97</v>
      </c>
      <c r="E59" s="111">
        <v>355.84000000000003</v>
      </c>
      <c r="F59" s="137">
        <f>Table1123456[[#This Row],[d (mm)]]</f>
        <v>684</v>
      </c>
      <c r="G59" s="135">
        <f t="shared" si="7"/>
        <v>722881.84320000012</v>
      </c>
      <c r="H59" s="135">
        <f t="shared" si="4"/>
        <v>1.4654036008678534E-6</v>
      </c>
      <c r="I59" s="135">
        <f>G59/(Table1123456[[#This Row],[b (mm)]]*X59^2)</f>
        <v>3.0415250725238296E-3</v>
      </c>
      <c r="J59" s="135">
        <f t="shared" si="5"/>
        <v>0.44575680121472866</v>
      </c>
      <c r="K59" s="135">
        <f t="shared" si="6"/>
        <v>3.4269930287006946E-7</v>
      </c>
      <c r="L59" s="135">
        <f>E59/(Table1123456[[#This Row],[b (mm)]]*X59)</f>
        <v>1.0240825160012894E-3</v>
      </c>
      <c r="M59" s="135">
        <f>Table1123456[[#This Row],[M (KN.mm)]]/(Table1123456[[#This Row],[b (mm)]]*Table1123456[[#This Row],[d (mm)]])</f>
        <v>2.0804031496062994</v>
      </c>
      <c r="N59" s="135">
        <f>Table1123456[[#This Row],[M (KN.mm)]]/(Table1123456[[#This Row],[b (mm)]]*Table1123456[[#This Row],[h (mm)]])</f>
        <v>1.8674484964969933</v>
      </c>
      <c r="O59" s="145">
        <f>Table1123456[[#This Row],[M (KN.mm)]]/(Table1123456[[#This Row],[b (mm)]]*Table1123456[[#This Row],[h (mm)]]*Table1123456[[#This Row],[L(mm)]])</f>
        <v>4.5950996468922079E-4</v>
      </c>
      <c r="P59" s="145">
        <f>Table1123456[[#This Row],[M (KN.mm)]]/(Table1123456[[#This Row],[b (mm)]]*Table1123456[[#This Row],[d (mm)]]*Table1123456[[#This Row],[L(mm)]])</f>
        <v>5.1191022382044771E-4</v>
      </c>
      <c r="Q59" s="145">
        <f>Table1123456[[#This Row],[M (KN.mm)]]/(Table1123456[[#This Row],[b (mm)]]*Table1123456[[#This Row],[h (mm)]]*Table1123456[[#This Row],[L(mm)]]*Table1123456[[#This Row],[fc (Mpa)]])</f>
        <v>6.7475765739973686E-6</v>
      </c>
      <c r="R59" s="145">
        <f>Table1123456[[#This Row],[M (KN.mm)]]/(Table1123456[[#This Row],[b (mm)]]*Table1123456[[#This Row],[h (mm)]]*Table1123456[[#This Row],[L(mm)]]/2)</f>
        <v>9.1901992937844159E-4</v>
      </c>
      <c r="S59" s="145">
        <f>Table1123456[[#This Row],[M (KN.mm)]]/(Table1123456[[#This Row],[a (mm)]]*Table1123456[[#This Row],[b (mm)]]*Table1123456[[#This Row],[h (mm)]]*Table1123456[[#This Row],[L(mm)]]/2)</f>
        <v>4.5238935622228207E-7</v>
      </c>
      <c r="T59" s="111">
        <f>G59/($AJ$5*AF59*0.001*Table1123456[[#This Row],[pho (%)]])</f>
        <v>1.1272335391291179E-6</v>
      </c>
      <c r="U59" s="145">
        <f>Table1123456[[#This Row],[M (KN.mm)]]/(Table1123456[[#This Row],[b (mm)]]*Table1123456[[#This Row],[d (mm)]]*Table1123456[[#This Row],[pho (%)]])</f>
        <v>1.6003101150817687</v>
      </c>
      <c r="V59" s="145">
        <f>E59/(Table1123456[[#This Row],[b (mm)]]*Y59*Table1123456[[#This Row],[fc (Mpa)]]*Table1123456[[#This Row],[a (mm)]])</f>
        <v>6.64471592930271E-9</v>
      </c>
      <c r="W59" s="111">
        <f>2.97*Table1123456[[#This Row],[d (mm)]]</f>
        <v>2031.4800000000002</v>
      </c>
      <c r="X59" s="160">
        <v>684</v>
      </c>
      <c r="Y59" s="160">
        <v>762</v>
      </c>
      <c r="Z59" s="160">
        <v>508</v>
      </c>
      <c r="AA59" s="160">
        <v>68.099999999999994</v>
      </c>
      <c r="AB59" s="160">
        <v>4516</v>
      </c>
      <c r="AC59" s="160">
        <v>1.3</v>
      </c>
      <c r="AD59" s="160">
        <v>525</v>
      </c>
      <c r="AE59" s="111">
        <f>(1/3-0.21*(MIN(Table1123456[[#This Row],[b (mm)]],Y59)/MAX(Table1123456[[#This Row],[b (mm)]],Y59))*(MIN(Table1123456[[#This Row],[b (mm)]],Y59)^4/(12*MAX(Table1123456[[#This Row],[b (mm)]],Y59)^4)))*MAX(Table1123456[[#This Row],[b (mm)]],Y59)*MIN(Table1123456[[#This Row],[b (mm)]],Y59)^3</f>
        <v>33068302099.026169</v>
      </c>
      <c r="AF59" s="111">
        <f>Table1123456[[#This Row],[b (mm)]]*Y59^3/12</f>
        <v>18730414152</v>
      </c>
      <c r="AG59" s="160">
        <v>4064</v>
      </c>
      <c r="AH59" s="138"/>
      <c r="AI59" s="126"/>
    </row>
    <row r="60" spans="1:37" x14ac:dyDescent="0.25">
      <c r="A60" s="158" t="s">
        <v>100</v>
      </c>
      <c r="B60" s="147">
        <v>9</v>
      </c>
      <c r="C60" s="111">
        <v>71</v>
      </c>
      <c r="D60" s="111">
        <f>Table1123456[[#This Row],[a (mm)]]/Table1123456[[#This Row],[d (mm)]]</f>
        <v>2.97</v>
      </c>
      <c r="E60" s="111">
        <v>378.08000000000004</v>
      </c>
      <c r="F60" s="137">
        <f>Table1123456[[#This Row],[d (mm)]]</f>
        <v>684</v>
      </c>
      <c r="G60" s="135">
        <f t="shared" si="7"/>
        <v>768061.95840000012</v>
      </c>
      <c r="H60" s="135">
        <f t="shared" si="4"/>
        <v>1.5569913259220941E-6</v>
      </c>
      <c r="I60" s="135">
        <f>G60/(Table1123456[[#This Row],[b (mm)]]*X60^2)</f>
        <v>3.231620389556569E-3</v>
      </c>
      <c r="J60" s="135">
        <f t="shared" si="5"/>
        <v>0.47361660129064914</v>
      </c>
      <c r="K60" s="135">
        <f t="shared" si="6"/>
        <v>3.6411800929944879E-7</v>
      </c>
      <c r="L60" s="135">
        <f>E60/(Table1123456[[#This Row],[b (mm)]]*X60)</f>
        <v>1.08808767325137E-3</v>
      </c>
      <c r="M60" s="135">
        <f>Table1123456[[#This Row],[M (KN.mm)]]/(Table1123456[[#This Row],[b (mm)]]*Table1123456[[#This Row],[d (mm)]])</f>
        <v>2.2104283464566934</v>
      </c>
      <c r="N60" s="135">
        <f>Table1123456[[#This Row],[M (KN.mm)]]/(Table1123456[[#This Row],[b (mm)]]*Table1123456[[#This Row],[h (mm)]])</f>
        <v>1.9841640275280554</v>
      </c>
      <c r="O60" s="145">
        <f>Table1123456[[#This Row],[M (KN.mm)]]/(Table1123456[[#This Row],[b (mm)]]*Table1123456[[#This Row],[h (mm)]]*Table1123456[[#This Row],[L(mm)]])</f>
        <v>4.8822933748229706E-4</v>
      </c>
      <c r="P60" s="145">
        <f>Table1123456[[#This Row],[M (KN.mm)]]/(Table1123456[[#This Row],[b (mm)]]*Table1123456[[#This Row],[d (mm)]]*Table1123456[[#This Row],[L(mm)]])</f>
        <v>5.4390461280922568E-4</v>
      </c>
      <c r="Q60" s="145">
        <f>Table1123456[[#This Row],[M (KN.mm)]]/(Table1123456[[#This Row],[b (mm)]]*Table1123456[[#This Row],[h (mm)]]*Table1123456[[#This Row],[L(mm)]]*Table1123456[[#This Row],[fc (Mpa)]])</f>
        <v>7.1693001098722046E-6</v>
      </c>
      <c r="R60" s="145">
        <f>Table1123456[[#This Row],[M (KN.mm)]]/(Table1123456[[#This Row],[b (mm)]]*Table1123456[[#This Row],[h (mm)]]*Table1123456[[#This Row],[L(mm)]]/2)</f>
        <v>9.7645867496459413E-4</v>
      </c>
      <c r="S60" s="145">
        <f>Table1123456[[#This Row],[M (KN.mm)]]/(Table1123456[[#This Row],[a (mm)]]*Table1123456[[#This Row],[b (mm)]]*Table1123456[[#This Row],[h (mm)]]*Table1123456[[#This Row],[L(mm)]]/2)</f>
        <v>4.8066369098617464E-7</v>
      </c>
      <c r="T60" s="111">
        <f>G60/($AJ$5*AF60*0.001*Table1123456[[#This Row],[pho (%)]])</f>
        <v>1.1976856353246879E-6</v>
      </c>
      <c r="U60" s="145">
        <f>Table1123456[[#This Row],[M (KN.mm)]]/(Table1123456[[#This Row],[b (mm)]]*Table1123456[[#This Row],[d (mm)]]*Table1123456[[#This Row],[pho (%)]])</f>
        <v>1.7003294972743792</v>
      </c>
      <c r="V60" s="145">
        <f>E60/(Table1123456[[#This Row],[b (mm)]]*Y60*Table1123456[[#This Row],[fc (Mpa)]]*Table1123456[[#This Row],[a (mm)]])</f>
        <v>7.0600106748841291E-9</v>
      </c>
      <c r="W60" s="111">
        <f>2.97*Table1123456[[#This Row],[d (mm)]]</f>
        <v>2031.4800000000002</v>
      </c>
      <c r="X60" s="160">
        <v>684</v>
      </c>
      <c r="Y60" s="160">
        <v>762</v>
      </c>
      <c r="Z60" s="160">
        <v>508</v>
      </c>
      <c r="AA60" s="160">
        <v>68.099999999999994</v>
      </c>
      <c r="AB60" s="160">
        <v>4516</v>
      </c>
      <c r="AC60" s="160">
        <v>1.3</v>
      </c>
      <c r="AD60" s="160">
        <v>525</v>
      </c>
      <c r="AE60" s="111">
        <f>(1/3-0.21*(MIN(Table1123456[[#This Row],[b (mm)]],Y60)/MAX(Table1123456[[#This Row],[b (mm)]],Y60))*(MIN(Table1123456[[#This Row],[b (mm)]],Y60)^4/(12*MAX(Table1123456[[#This Row],[b (mm)]],Y60)^4)))*MAX(Table1123456[[#This Row],[b (mm)]],Y60)*MIN(Table1123456[[#This Row],[b (mm)]],Y60)^3</f>
        <v>33068302099.026169</v>
      </c>
      <c r="AF60" s="111">
        <f>Table1123456[[#This Row],[b (mm)]]*Y60^3/12</f>
        <v>18730414152</v>
      </c>
      <c r="AG60" s="160">
        <v>4064</v>
      </c>
      <c r="AH60" s="138"/>
      <c r="AI60" s="126"/>
    </row>
    <row r="61" spans="1:37" x14ac:dyDescent="0.25">
      <c r="A61" s="158" t="s">
        <v>100</v>
      </c>
      <c r="B61" s="147">
        <v>10</v>
      </c>
      <c r="C61" s="111">
        <v>72</v>
      </c>
      <c r="D61" s="111">
        <f>Table1123456[[#This Row],[a (mm)]]/Table1123456[[#This Row],[d (mm)]]</f>
        <v>2.97</v>
      </c>
      <c r="E61" s="111">
        <v>400.32000000000005</v>
      </c>
      <c r="F61" s="137">
        <f>Table1123456[[#This Row],[d (mm)]]</f>
        <v>684</v>
      </c>
      <c r="G61" s="135">
        <f t="shared" si="7"/>
        <v>813242.07360000024</v>
      </c>
      <c r="H61" s="135">
        <f t="shared" si="4"/>
        <v>1.6485790509763353E-6</v>
      </c>
      <c r="I61" s="135">
        <f>G61/(Table1123456[[#This Row],[b (mm)]]*X61^2)</f>
        <v>3.4217157065893089E-3</v>
      </c>
      <c r="J61" s="135">
        <f t="shared" si="5"/>
        <v>0.50147640136656979</v>
      </c>
      <c r="K61" s="135">
        <f t="shared" si="6"/>
        <v>3.8553671572882811E-7</v>
      </c>
      <c r="L61" s="135">
        <f>E61/(Table1123456[[#This Row],[b (mm)]]*X61)</f>
        <v>1.1520928305014506E-3</v>
      </c>
      <c r="M61" s="135">
        <f>Table1123456[[#This Row],[M (KN.mm)]]/(Table1123456[[#This Row],[b (mm)]]*Table1123456[[#This Row],[d (mm)]])</f>
        <v>2.3404535433070874</v>
      </c>
      <c r="N61" s="135">
        <f>Table1123456[[#This Row],[M (KN.mm)]]/(Table1123456[[#This Row],[b (mm)]]*Table1123456[[#This Row],[h (mm)]])</f>
        <v>2.1008795585591176</v>
      </c>
      <c r="O61" s="145">
        <f>Table1123456[[#This Row],[M (KN.mm)]]/(Table1123456[[#This Row],[b (mm)]]*Table1123456[[#This Row],[h (mm)]]*Table1123456[[#This Row],[L(mm)]])</f>
        <v>5.1694871027537349E-4</v>
      </c>
      <c r="P61" s="145">
        <f>Table1123456[[#This Row],[M (KN.mm)]]/(Table1123456[[#This Row],[b (mm)]]*Table1123456[[#This Row],[d (mm)]]*Table1123456[[#This Row],[L(mm)]])</f>
        <v>5.7589900179800375E-4</v>
      </c>
      <c r="Q61" s="145">
        <f>Table1123456[[#This Row],[M (KN.mm)]]/(Table1123456[[#This Row],[b (mm)]]*Table1123456[[#This Row],[h (mm)]]*Table1123456[[#This Row],[L(mm)]]*Table1123456[[#This Row],[fc (Mpa)]])</f>
        <v>7.5910236457470407E-6</v>
      </c>
      <c r="R61" s="145">
        <f>Table1123456[[#This Row],[M (KN.mm)]]/(Table1123456[[#This Row],[b (mm)]]*Table1123456[[#This Row],[h (mm)]]*Table1123456[[#This Row],[L(mm)]]/2)</f>
        <v>1.033897420550747E-3</v>
      </c>
      <c r="S61" s="145">
        <f>Table1123456[[#This Row],[M (KN.mm)]]/(Table1123456[[#This Row],[a (mm)]]*Table1123456[[#This Row],[b (mm)]]*Table1123456[[#This Row],[h (mm)]]*Table1123456[[#This Row],[L(mm)]]/2)</f>
        <v>5.0893802575006735E-7</v>
      </c>
      <c r="T61" s="111">
        <f>G61/($AJ$5*AF61*0.001*Table1123456[[#This Row],[pho (%)]])</f>
        <v>1.268137731520258E-6</v>
      </c>
      <c r="U61" s="145">
        <f>Table1123456[[#This Row],[M (KN.mm)]]/(Table1123456[[#This Row],[b (mm)]]*Table1123456[[#This Row],[d (mm)]]*Table1123456[[#This Row],[pho (%)]])</f>
        <v>1.8003488794669902</v>
      </c>
      <c r="V61" s="145">
        <f>E61/(Table1123456[[#This Row],[b (mm)]]*Y61*Table1123456[[#This Row],[fc (Mpa)]]*Table1123456[[#This Row],[a (mm)]])</f>
        <v>7.475305420465549E-9</v>
      </c>
      <c r="W61" s="111">
        <f>2.97*Table1123456[[#This Row],[d (mm)]]</f>
        <v>2031.4800000000002</v>
      </c>
      <c r="X61" s="160">
        <v>684</v>
      </c>
      <c r="Y61" s="160">
        <v>762</v>
      </c>
      <c r="Z61" s="160">
        <v>508</v>
      </c>
      <c r="AA61" s="160">
        <v>68.099999999999994</v>
      </c>
      <c r="AB61" s="160">
        <v>4516</v>
      </c>
      <c r="AC61" s="160">
        <v>1.3</v>
      </c>
      <c r="AD61" s="160">
        <v>525</v>
      </c>
      <c r="AE61" s="111">
        <f>(1/3-0.21*(MIN(Table1123456[[#This Row],[b (mm)]],Y61)/MAX(Table1123456[[#This Row],[b (mm)]],Y61))*(MIN(Table1123456[[#This Row],[b (mm)]],Y61)^4/(12*MAX(Table1123456[[#This Row],[b (mm)]],Y61)^4)))*MAX(Table1123456[[#This Row],[b (mm)]],Y61)*MIN(Table1123456[[#This Row],[b (mm)]],Y61)^3</f>
        <v>33068302099.026169</v>
      </c>
      <c r="AF61" s="111">
        <f>Table1123456[[#This Row],[b (mm)]]*Y61^3/12</f>
        <v>18730414152</v>
      </c>
      <c r="AG61" s="160">
        <v>4064</v>
      </c>
      <c r="AH61" s="138"/>
      <c r="AI61" s="126"/>
    </row>
    <row r="62" spans="1:37" x14ac:dyDescent="0.25">
      <c r="A62" s="158" t="s">
        <v>100</v>
      </c>
      <c r="B62" s="147">
        <v>11</v>
      </c>
      <c r="C62" s="111">
        <v>73</v>
      </c>
      <c r="D62" s="111">
        <f>Table1123456[[#This Row],[a (mm)]]/Table1123456[[#This Row],[d (mm)]]</f>
        <v>2.97</v>
      </c>
      <c r="E62" s="111">
        <v>422.56000000000006</v>
      </c>
      <c r="F62" s="137">
        <f>Table1123456[[#This Row],[d (mm)]]</f>
        <v>684</v>
      </c>
      <c r="G62" s="135">
        <f t="shared" si="7"/>
        <v>858422.18880000024</v>
      </c>
      <c r="H62" s="135">
        <f t="shared" si="4"/>
        <v>1.740166776030576E-6</v>
      </c>
      <c r="I62" s="135">
        <f>G62/(Table1123456[[#This Row],[b (mm)]]*X62^2)</f>
        <v>3.6118110236220483E-3</v>
      </c>
      <c r="J62" s="135">
        <f t="shared" si="5"/>
        <v>0.52933620144249027</v>
      </c>
      <c r="K62" s="135">
        <f t="shared" si="6"/>
        <v>4.0695542215820749E-7</v>
      </c>
      <c r="L62" s="135">
        <f>E62/(Table1123456[[#This Row],[b (mm)]]*X62)</f>
        <v>1.2160979877515311E-3</v>
      </c>
      <c r="M62" s="135">
        <f>Table1123456[[#This Row],[M (KN.mm)]]/(Table1123456[[#This Row],[b (mm)]]*Table1123456[[#This Row],[d (mm)]])</f>
        <v>2.470478740157481</v>
      </c>
      <c r="N62" s="135">
        <f>Table1123456[[#This Row],[M (KN.mm)]]/(Table1123456[[#This Row],[b (mm)]]*Table1123456[[#This Row],[h (mm)]])</f>
        <v>2.2175950895901799</v>
      </c>
      <c r="O62" s="145">
        <f>Table1123456[[#This Row],[M (KN.mm)]]/(Table1123456[[#This Row],[b (mm)]]*Table1123456[[#This Row],[h (mm)]]*Table1123456[[#This Row],[L(mm)]])</f>
        <v>5.4566808306844971E-4</v>
      </c>
      <c r="P62" s="145">
        <f>Table1123456[[#This Row],[M (KN.mm)]]/(Table1123456[[#This Row],[b (mm)]]*Table1123456[[#This Row],[d (mm)]]*Table1123456[[#This Row],[L(mm)]])</f>
        <v>6.0789339078678171E-4</v>
      </c>
      <c r="Q62" s="145">
        <f>Table1123456[[#This Row],[M (KN.mm)]]/(Table1123456[[#This Row],[b (mm)]]*Table1123456[[#This Row],[h (mm)]]*Table1123456[[#This Row],[L(mm)]]*Table1123456[[#This Row],[fc (Mpa)]])</f>
        <v>8.0127471816218758E-6</v>
      </c>
      <c r="R62" s="145">
        <f>Table1123456[[#This Row],[M (KN.mm)]]/(Table1123456[[#This Row],[b (mm)]]*Table1123456[[#This Row],[h (mm)]]*Table1123456[[#This Row],[L(mm)]]/2)</f>
        <v>1.0913361661368994E-3</v>
      </c>
      <c r="S62" s="145">
        <f>Table1123456[[#This Row],[M (KN.mm)]]/(Table1123456[[#This Row],[a (mm)]]*Table1123456[[#This Row],[b (mm)]]*Table1123456[[#This Row],[h (mm)]]*Table1123456[[#This Row],[L(mm)]]/2)</f>
        <v>5.3721236051395997E-7</v>
      </c>
      <c r="T62" s="111">
        <f>G62/($AJ$5*AF62*0.001*Table1123456[[#This Row],[pho (%)]])</f>
        <v>1.3385898277158278E-6</v>
      </c>
      <c r="U62" s="145">
        <f>Table1123456[[#This Row],[M (KN.mm)]]/(Table1123456[[#This Row],[b (mm)]]*Table1123456[[#This Row],[d (mm)]]*Table1123456[[#This Row],[pho (%)]])</f>
        <v>1.9003682616596007</v>
      </c>
      <c r="V62" s="145">
        <f>E62/(Table1123456[[#This Row],[b (mm)]]*Y62*Table1123456[[#This Row],[fc (Mpa)]]*Table1123456[[#This Row],[a (mm)]])</f>
        <v>7.8906001660469681E-9</v>
      </c>
      <c r="W62" s="111">
        <f>2.97*Table1123456[[#This Row],[d (mm)]]</f>
        <v>2031.4800000000002</v>
      </c>
      <c r="X62" s="160">
        <v>684</v>
      </c>
      <c r="Y62" s="160">
        <v>762</v>
      </c>
      <c r="Z62" s="160">
        <v>508</v>
      </c>
      <c r="AA62" s="160">
        <v>68.099999999999994</v>
      </c>
      <c r="AB62" s="160">
        <v>4516</v>
      </c>
      <c r="AC62" s="160">
        <v>1.3</v>
      </c>
      <c r="AD62" s="160">
        <v>525</v>
      </c>
      <c r="AE62" s="111">
        <f>(1/3-0.21*(MIN(Table1123456[[#This Row],[b (mm)]],Y62)/MAX(Table1123456[[#This Row],[b (mm)]],Y62))*(MIN(Table1123456[[#This Row],[b (mm)]],Y62)^4/(12*MAX(Table1123456[[#This Row],[b (mm)]],Y62)^4)))*MAX(Table1123456[[#This Row],[b (mm)]],Y62)*MIN(Table1123456[[#This Row],[b (mm)]],Y62)^3</f>
        <v>33068302099.026169</v>
      </c>
      <c r="AF62" s="111">
        <f>Table1123456[[#This Row],[b (mm)]]*Y62^3/12</f>
        <v>18730414152</v>
      </c>
      <c r="AG62" s="160">
        <v>4064</v>
      </c>
      <c r="AH62" s="138"/>
      <c r="AI62" s="126"/>
    </row>
    <row r="63" spans="1:37" x14ac:dyDescent="0.25">
      <c r="A63" s="158" t="s">
        <v>100</v>
      </c>
      <c r="B63" s="147">
        <v>12</v>
      </c>
      <c r="C63" s="111">
        <v>74</v>
      </c>
      <c r="D63" s="111">
        <f>Table1123456[[#This Row],[a (mm)]]/Table1123456[[#This Row],[d (mm)]]</f>
        <v>2.97</v>
      </c>
      <c r="E63" s="111">
        <v>444.80000000000007</v>
      </c>
      <c r="F63" s="137">
        <f>Table1123456[[#This Row],[d (mm)]]</f>
        <v>684</v>
      </c>
      <c r="G63" s="135">
        <f t="shared" si="7"/>
        <v>903602.30400000024</v>
      </c>
      <c r="H63" s="135">
        <f t="shared" si="4"/>
        <v>1.8317545010848168E-6</v>
      </c>
      <c r="I63" s="135">
        <f>G63/(Table1123456[[#This Row],[b (mm)]]*X63^2)</f>
        <v>3.8019063406547877E-3</v>
      </c>
      <c r="J63" s="135">
        <f t="shared" si="5"/>
        <v>0.55719600151841087</v>
      </c>
      <c r="K63" s="135">
        <f t="shared" si="6"/>
        <v>4.2837412858758682E-7</v>
      </c>
      <c r="L63" s="135">
        <f>E63/(Table1123456[[#This Row],[b (mm)]]*X63)</f>
        <v>1.2801031450016117E-3</v>
      </c>
      <c r="M63" s="135">
        <f>Table1123456[[#This Row],[M (KN.mm)]]/(Table1123456[[#This Row],[b (mm)]]*Table1123456[[#This Row],[d (mm)]])</f>
        <v>2.6005039370078746</v>
      </c>
      <c r="N63" s="135">
        <f>Table1123456[[#This Row],[M (KN.mm)]]/(Table1123456[[#This Row],[b (mm)]]*Table1123456[[#This Row],[h (mm)]])</f>
        <v>2.3343106206212418</v>
      </c>
      <c r="O63" s="145">
        <f>Table1123456[[#This Row],[M (KN.mm)]]/(Table1123456[[#This Row],[b (mm)]]*Table1123456[[#This Row],[h (mm)]]*Table1123456[[#This Row],[L(mm)]])</f>
        <v>5.7438745586152603E-4</v>
      </c>
      <c r="P63" s="145">
        <f>Table1123456[[#This Row],[M (KN.mm)]]/(Table1123456[[#This Row],[b (mm)]]*Table1123456[[#This Row],[d (mm)]]*Table1123456[[#This Row],[L(mm)]])</f>
        <v>6.3988777977555967E-4</v>
      </c>
      <c r="Q63" s="145">
        <f>Table1123456[[#This Row],[M (KN.mm)]]/(Table1123456[[#This Row],[b (mm)]]*Table1123456[[#This Row],[h (mm)]]*Table1123456[[#This Row],[L(mm)]]*Table1123456[[#This Row],[fc (Mpa)]])</f>
        <v>8.4344707174967118E-6</v>
      </c>
      <c r="R63" s="145">
        <f>Table1123456[[#This Row],[M (KN.mm)]]/(Table1123456[[#This Row],[b (mm)]]*Table1123456[[#This Row],[h (mm)]]*Table1123456[[#This Row],[L(mm)]]/2)</f>
        <v>1.1487749117230521E-3</v>
      </c>
      <c r="S63" s="145">
        <f>Table1123456[[#This Row],[M (KN.mm)]]/(Table1123456[[#This Row],[a (mm)]]*Table1123456[[#This Row],[b (mm)]]*Table1123456[[#This Row],[h (mm)]]*Table1123456[[#This Row],[L(mm)]]/2)</f>
        <v>5.6548669527785258E-7</v>
      </c>
      <c r="T63" s="111">
        <f>G63/($AJ$5*AF63*0.001*Table1123456[[#This Row],[pho (%)]])</f>
        <v>1.4090419239113976E-6</v>
      </c>
      <c r="U63" s="145">
        <f>Table1123456[[#This Row],[M (KN.mm)]]/(Table1123456[[#This Row],[b (mm)]]*Table1123456[[#This Row],[d (mm)]]*Table1123456[[#This Row],[pho (%)]])</f>
        <v>2.000387643852211</v>
      </c>
      <c r="V63" s="145">
        <f>E63/(Table1123456[[#This Row],[b (mm)]]*Y63*Table1123456[[#This Row],[fc (Mpa)]]*Table1123456[[#This Row],[a (mm)]])</f>
        <v>8.3058949116283872E-9</v>
      </c>
      <c r="W63" s="111">
        <f>2.97*Table1123456[[#This Row],[d (mm)]]</f>
        <v>2031.4800000000002</v>
      </c>
      <c r="X63" s="160">
        <v>684</v>
      </c>
      <c r="Y63" s="160">
        <v>762</v>
      </c>
      <c r="Z63" s="160">
        <v>508</v>
      </c>
      <c r="AA63" s="160">
        <v>68.099999999999994</v>
      </c>
      <c r="AB63" s="160">
        <v>4516</v>
      </c>
      <c r="AC63" s="160">
        <v>1.3</v>
      </c>
      <c r="AD63" s="160">
        <v>525</v>
      </c>
      <c r="AE63" s="111">
        <f>(1/3-0.21*(MIN(Table1123456[[#This Row],[b (mm)]],Y63)/MAX(Table1123456[[#This Row],[b (mm)]],Y63))*(MIN(Table1123456[[#This Row],[b (mm)]],Y63)^4/(12*MAX(Table1123456[[#This Row],[b (mm)]],Y63)^4)))*MAX(Table1123456[[#This Row],[b (mm)]],Y63)*MIN(Table1123456[[#This Row],[b (mm)]],Y63)^3</f>
        <v>33068302099.026169</v>
      </c>
      <c r="AF63" s="111">
        <f>Table1123456[[#This Row],[b (mm)]]*Y63^3/12</f>
        <v>18730414152</v>
      </c>
      <c r="AG63" s="160">
        <v>4064</v>
      </c>
      <c r="AH63" s="138"/>
      <c r="AI63" s="126"/>
    </row>
    <row r="64" spans="1:37" x14ac:dyDescent="0.25">
      <c r="A64" s="159" t="s">
        <v>101</v>
      </c>
      <c r="B64" s="150">
        <v>1</v>
      </c>
      <c r="C64" s="111">
        <v>77</v>
      </c>
      <c r="D64" s="111">
        <f>Table1123456[[#This Row],[a (mm)]]/Table1123456[[#This Row],[d (mm)]]</f>
        <v>3</v>
      </c>
      <c r="E64" s="111">
        <v>351.39200000000005</v>
      </c>
      <c r="F64" s="137">
        <f>Table1123456[[#This Row],[d (mm)]]</f>
        <v>822</v>
      </c>
      <c r="G64" s="135">
        <f>E64*W64</f>
        <v>866532.67200000014</v>
      </c>
      <c r="H64" s="135">
        <f>G64/($AJ$5*AF64*0.001)</f>
        <v>8.4353759767097054E-7</v>
      </c>
      <c r="I64" s="135">
        <f>G64/(Table1123456[[#This Row],[b (mm)]]*X64^2)</f>
        <v>2.0920922589633371E-3</v>
      </c>
      <c r="J64" s="135">
        <f>G64/(AB64*AD64*X64*0.001)</f>
        <v>0.30632407104718323</v>
      </c>
      <c r="K64" s="135">
        <f>E64/($AJ$4*AE64*0.001)</f>
        <v>1.6060567719774979E-7</v>
      </c>
      <c r="L64" s="135">
        <f>E64/(Table1123456[[#This Row],[b (mm)]]*X64)</f>
        <v>6.9736408632111238E-4</v>
      </c>
      <c r="M64" s="135">
        <f>Table1123456[[#This Row],[M (KN.mm)]]/(Table1123456[[#This Row],[b (mm)]]*Table1123456[[#This Row],[d (mm)]])</f>
        <v>1.7196998368678633</v>
      </c>
      <c r="N64" s="135">
        <f>Table1123456[[#This Row],[M (KN.mm)]]/(Table1123456[[#This Row],[b (mm)]]*Table1123456[[#This Row],[h (mm)]])</f>
        <v>1.5466009473800695</v>
      </c>
      <c r="O64" s="145">
        <f>Table1123456[[#This Row],[M (KN.mm)]]/(Table1123456[[#This Row],[b (mm)]]*Table1123456[[#This Row],[h (mm)]]*Table1123456[[#This Row],[L(mm)]])</f>
        <v>3.13839477958618E-4</v>
      </c>
      <c r="P64" s="145">
        <f>Table1123456[[#This Row],[M (KN.mm)]]/(Table1123456[[#This Row],[b (mm)]]*Table1123456[[#This Row],[d (mm)]]*Table1123456[[#This Row],[L(mm)]])</f>
        <v>3.4896506429948524E-4</v>
      </c>
      <c r="Q64" s="145">
        <f>Table1123456[[#This Row],[M (KN.mm)]]/(Table1123456[[#This Row],[b (mm)]]*Table1123456[[#This Row],[h (mm)]]*Table1123456[[#This Row],[L(mm)]]*Table1123456[[#This Row],[fc (Mpa)]])</f>
        <v>4.3050682847547049E-6</v>
      </c>
      <c r="R64" s="145">
        <f>Table1123456[[#This Row],[M (KN.mm)]]/(Table1123456[[#This Row],[b (mm)]]*Table1123456[[#This Row],[h (mm)]]*Table1123456[[#This Row],[L(mm)]]/2)</f>
        <v>6.27678955917236E-4</v>
      </c>
      <c r="S64" s="145">
        <f>Table1123456[[#This Row],[M (KN.mm)]]/(Table1123456[[#This Row],[a (mm)]]*Table1123456[[#This Row],[b (mm)]]*Table1123456[[#This Row],[h (mm)]]*Table1123456[[#This Row],[L(mm)]]/2)</f>
        <v>2.545332343541103E-7</v>
      </c>
      <c r="T64" s="111">
        <f>G64/($AJ$5*AF64*0.001*Table1123456[[#This Row],[pho (%)]])</f>
        <v>6.4887507513151568E-7</v>
      </c>
      <c r="U64" s="145">
        <f>Table1123456[[#This Row],[M (KN.mm)]]/(Table1123456[[#This Row],[b (mm)]]*Table1123456[[#This Row],[d (mm)]]*Table1123456[[#This Row],[pho (%)]])</f>
        <v>1.3228460283598946</v>
      </c>
      <c r="V64" s="145">
        <f>E64/(Table1123456[[#This Row],[b (mm)]]*Y64*Table1123456[[#This Row],[fc (Mpa)]]*Table1123456[[#This Row],[a (mm)]])</f>
        <v>3.4887078225375542E-9</v>
      </c>
      <c r="W64" s="111">
        <f>3*Table1123456[[#This Row],[d (mm)]]</f>
        <v>2466</v>
      </c>
      <c r="X64" s="160">
        <v>822</v>
      </c>
      <c r="Y64" s="160">
        <v>914</v>
      </c>
      <c r="Z64" s="160">
        <v>613</v>
      </c>
      <c r="AA64" s="160">
        <v>72.900000000000006</v>
      </c>
      <c r="AB64" s="160">
        <v>6555</v>
      </c>
      <c r="AC64" s="160">
        <v>1.3</v>
      </c>
      <c r="AD64" s="160">
        <v>525</v>
      </c>
      <c r="AE64" s="111">
        <f>(1/3-0.21*(MIN(Table1123456[[#This Row],[b (mm)]],Y64)/MAX(Table1123456[[#This Row],[b (mm)]],Y64))*(MIN(Table1123456[[#This Row],[b (mm)]],Y64)^4/(12*MAX(Table1123456[[#This Row],[b (mm)]],Y64)^4)))*MAX(Table1123456[[#This Row],[b (mm)]],Y64)*MIN(Table1123456[[#This Row],[b (mm)]],Y64)^3</f>
        <v>69678906877.611313</v>
      </c>
      <c r="AF64" s="111">
        <f>Table1123456[[#This Row],[b (mm)]]*Y64^3/12</f>
        <v>39004778472.666664</v>
      </c>
      <c r="AG64" s="160">
        <v>4928</v>
      </c>
      <c r="AH64" s="148"/>
      <c r="AI64" s="149"/>
      <c r="AJ64" s="139"/>
      <c r="AK64" s="139"/>
    </row>
    <row r="65" spans="1:42" x14ac:dyDescent="0.25">
      <c r="A65" s="159" t="s">
        <v>101</v>
      </c>
      <c r="B65" s="150">
        <v>2</v>
      </c>
      <c r="C65" s="111">
        <v>78</v>
      </c>
      <c r="D65" s="111">
        <f>Table1123456[[#This Row],[a (mm)]]/Table1123456[[#This Row],[d (mm)]]</f>
        <v>3</v>
      </c>
      <c r="E65" s="111">
        <v>378.08000000000004</v>
      </c>
      <c r="F65" s="137">
        <f>Table1123456[[#This Row],[d (mm)]]</f>
        <v>822</v>
      </c>
      <c r="G65" s="135">
        <f t="shared" ref="G65:G73" si="8">E65*W65</f>
        <v>932345.28000000014</v>
      </c>
      <c r="H65" s="135">
        <f t="shared" ref="H65:H73" si="9">G65/($AJ$5*AF65*0.001)</f>
        <v>9.0760374432952517E-7</v>
      </c>
      <c r="I65" s="135">
        <f>G65/(Table1123456[[#This Row],[b (mm)]]*X65^2)</f>
        <v>2.250985341922578E-3</v>
      </c>
      <c r="J65" s="135">
        <f t="shared" ref="J65:J73" si="10">G65/(AB65*AD65*X65*0.001)</f>
        <v>0.32958919036722245</v>
      </c>
      <c r="K65" s="135">
        <f t="shared" ref="K65:K73" si="11">E65/($AJ$4*AE65*0.001)</f>
        <v>1.7280357673175609E-7</v>
      </c>
      <c r="L65" s="135">
        <f>E65/(Table1123456[[#This Row],[b (mm)]]*X65)</f>
        <v>7.5032844730752596E-4</v>
      </c>
      <c r="M65" s="135">
        <f>Table1123456[[#This Row],[M (KN.mm)]]/(Table1123456[[#This Row],[b (mm)]]*Table1123456[[#This Row],[d (mm)]])</f>
        <v>1.8503099510603591</v>
      </c>
      <c r="N65" s="135">
        <f>Table1123456[[#This Row],[M (KN.mm)]]/(Table1123456[[#This Row],[b (mm)]]*Table1123456[[#This Row],[h (mm)]])</f>
        <v>1.6640643104722268</v>
      </c>
      <c r="O65" s="145">
        <f>Table1123456[[#This Row],[M (KN.mm)]]/(Table1123456[[#This Row],[b (mm)]]*Table1123456[[#This Row],[h (mm)]]*Table1123456[[#This Row],[L(mm)]])</f>
        <v>3.3767538767699409E-4</v>
      </c>
      <c r="P65" s="145">
        <f>Table1123456[[#This Row],[M (KN.mm)]]/(Table1123456[[#This Row],[b (mm)]]*Table1123456[[#This Row],[d (mm)]]*Table1123456[[#This Row],[L(mm)]])</f>
        <v>3.7546874006906642E-4</v>
      </c>
      <c r="Q65" s="145">
        <f>Table1123456[[#This Row],[M (KN.mm)]]/(Table1123456[[#This Row],[b (mm)]]*Table1123456[[#This Row],[h (mm)]]*Table1123456[[#This Row],[L(mm)]]*Table1123456[[#This Row],[fc (Mpa)]])</f>
        <v>4.6320354962550618E-6</v>
      </c>
      <c r="R65" s="145">
        <f>Table1123456[[#This Row],[M (KN.mm)]]/(Table1123456[[#This Row],[b (mm)]]*Table1123456[[#This Row],[h (mm)]]*Table1123456[[#This Row],[L(mm)]]/2)</f>
        <v>6.7535077535398817E-4</v>
      </c>
      <c r="S65" s="145">
        <f>Table1123456[[#This Row],[M (KN.mm)]]/(Table1123456[[#This Row],[a (mm)]]*Table1123456[[#This Row],[b (mm)]]*Table1123456[[#This Row],[h (mm)]]*Table1123456[[#This Row],[L(mm)]]/2)</f>
        <v>2.7386487240632121E-7</v>
      </c>
      <c r="T65" s="111">
        <f>G65/($AJ$5*AF65*0.001*Table1123456[[#This Row],[pho (%)]])</f>
        <v>6.9815672640732701E-7</v>
      </c>
      <c r="U65" s="145">
        <f>Table1123456[[#This Row],[M (KN.mm)]]/(Table1123456[[#This Row],[b (mm)]]*Table1123456[[#This Row],[d (mm)]]*Table1123456[[#This Row],[pho (%)]])</f>
        <v>1.423315346969507</v>
      </c>
      <c r="V65" s="145">
        <f>E65/(Table1123456[[#This Row],[b (mm)]]*Y65*Table1123456[[#This Row],[fc (Mpa)]]*Table1123456[[#This Row],[a (mm)]])</f>
        <v>3.7536729736163556E-9</v>
      </c>
      <c r="W65" s="111">
        <f>3*Table1123456[[#This Row],[d (mm)]]</f>
        <v>2466</v>
      </c>
      <c r="X65" s="160">
        <v>822</v>
      </c>
      <c r="Y65" s="160">
        <v>914</v>
      </c>
      <c r="Z65" s="160">
        <v>613</v>
      </c>
      <c r="AA65" s="160">
        <v>72.900000000000006</v>
      </c>
      <c r="AB65" s="160">
        <v>6555</v>
      </c>
      <c r="AC65" s="160">
        <v>1.3</v>
      </c>
      <c r="AD65" s="160">
        <v>525</v>
      </c>
      <c r="AE65" s="111">
        <f>(1/3-0.21*(MIN(Table1123456[[#This Row],[b (mm)]],Y65)/MAX(Table1123456[[#This Row],[b (mm)]],Y65))*(MIN(Table1123456[[#This Row],[b (mm)]],Y65)^4/(12*MAX(Table1123456[[#This Row],[b (mm)]],Y65)^4)))*MAX(Table1123456[[#This Row],[b (mm)]],Y65)*MIN(Table1123456[[#This Row],[b (mm)]],Y65)^3</f>
        <v>69678906877.611313</v>
      </c>
      <c r="AF65" s="111">
        <f>Table1123456[[#This Row],[b (mm)]]*Y65^3/12</f>
        <v>39004778472.666664</v>
      </c>
      <c r="AG65" s="160">
        <v>4928</v>
      </c>
      <c r="AH65" s="138"/>
      <c r="AI65" s="126"/>
    </row>
    <row r="66" spans="1:42" x14ac:dyDescent="0.25">
      <c r="A66" s="159" t="s">
        <v>101</v>
      </c>
      <c r="B66" s="150">
        <v>3</v>
      </c>
      <c r="C66" s="111">
        <v>79</v>
      </c>
      <c r="D66" s="111">
        <f>Table1123456[[#This Row],[a (mm)]]/Table1123456[[#This Row],[d (mm)]]</f>
        <v>3</v>
      </c>
      <c r="E66" s="111">
        <v>400.32000000000005</v>
      </c>
      <c r="F66" s="137">
        <f>Table1123456[[#This Row],[d (mm)]]</f>
        <v>822</v>
      </c>
      <c r="G66" s="135">
        <f t="shared" si="8"/>
        <v>987189.12000000011</v>
      </c>
      <c r="H66" s="135">
        <f t="shared" si="9"/>
        <v>9.6099219987832082E-7</v>
      </c>
      <c r="I66" s="135">
        <f>G66/(Table1123456[[#This Row],[b (mm)]]*X66^2)</f>
        <v>2.3833962443886121E-3</v>
      </c>
      <c r="J66" s="135">
        <f t="shared" si="10"/>
        <v>0.34897678980058849</v>
      </c>
      <c r="K66" s="135">
        <f t="shared" si="11"/>
        <v>1.8296849301009469E-7</v>
      </c>
      <c r="L66" s="135">
        <f>E66/(Table1123456[[#This Row],[b (mm)]]*X66)</f>
        <v>7.9446541479620395E-4</v>
      </c>
      <c r="M66" s="135">
        <f>Table1123456[[#This Row],[M (KN.mm)]]/(Table1123456[[#This Row],[b (mm)]]*Table1123456[[#This Row],[d (mm)]])</f>
        <v>1.9591517128874389</v>
      </c>
      <c r="N66" s="135">
        <f>Table1123456[[#This Row],[M (KN.mm)]]/(Table1123456[[#This Row],[b (mm)]]*Table1123456[[#This Row],[h (mm)]])</f>
        <v>1.7619504463823576</v>
      </c>
      <c r="O66" s="145">
        <f>Table1123456[[#This Row],[M (KN.mm)]]/(Table1123456[[#This Row],[b (mm)]]*Table1123456[[#This Row],[h (mm)]]*Table1123456[[#This Row],[L(mm)]])</f>
        <v>3.5753864577564077E-4</v>
      </c>
      <c r="P66" s="145">
        <f>Table1123456[[#This Row],[M (KN.mm)]]/(Table1123456[[#This Row],[b (mm)]]*Table1123456[[#This Row],[d (mm)]]*Table1123456[[#This Row],[L(mm)]])</f>
        <v>3.9755513654371732E-4</v>
      </c>
      <c r="Q66" s="145">
        <f>Table1123456[[#This Row],[M (KN.mm)]]/(Table1123456[[#This Row],[b (mm)]]*Table1123456[[#This Row],[h (mm)]]*Table1123456[[#This Row],[L(mm)]]*Table1123456[[#This Row],[fc (Mpa)]])</f>
        <v>4.90450817250536E-6</v>
      </c>
      <c r="R66" s="145">
        <f>Table1123456[[#This Row],[M (KN.mm)]]/(Table1123456[[#This Row],[b (mm)]]*Table1123456[[#This Row],[h (mm)]]*Table1123456[[#This Row],[L(mm)]]/2)</f>
        <v>7.1507729155128154E-4</v>
      </c>
      <c r="S66" s="145">
        <f>Table1123456[[#This Row],[M (KN.mm)]]/(Table1123456[[#This Row],[a (mm)]]*Table1123456[[#This Row],[b (mm)]]*Table1123456[[#This Row],[h (mm)]]*Table1123456[[#This Row],[L(mm)]]/2)</f>
        <v>2.8997457078316365E-7</v>
      </c>
      <c r="T66" s="111">
        <f>G66/($AJ$5*AF66*0.001*Table1123456[[#This Row],[pho (%)]])</f>
        <v>7.3922476913716969E-7</v>
      </c>
      <c r="U66" s="145">
        <f>Table1123456[[#This Row],[M (KN.mm)]]/(Table1123456[[#This Row],[b (mm)]]*Table1123456[[#This Row],[d (mm)]]*Table1123456[[#This Row],[pho (%)]])</f>
        <v>1.5070397791441839</v>
      </c>
      <c r="V66" s="145">
        <f>E66/(Table1123456[[#This Row],[b (mm)]]*Y66*Table1123456[[#This Row],[fc (Mpa)]]*Table1123456[[#This Row],[a (mm)]])</f>
        <v>3.974477266182024E-9</v>
      </c>
      <c r="W66" s="111">
        <f>3*Table1123456[[#This Row],[d (mm)]]</f>
        <v>2466</v>
      </c>
      <c r="X66" s="160">
        <v>822</v>
      </c>
      <c r="Y66" s="160">
        <v>914</v>
      </c>
      <c r="Z66" s="160">
        <v>613</v>
      </c>
      <c r="AA66" s="160">
        <v>72.900000000000006</v>
      </c>
      <c r="AB66" s="160">
        <v>6555</v>
      </c>
      <c r="AC66" s="160">
        <v>1.3</v>
      </c>
      <c r="AD66" s="160">
        <v>525</v>
      </c>
      <c r="AE66" s="111">
        <f>(1/3-0.21*(MIN(Table1123456[[#This Row],[b (mm)]],Y66)/MAX(Table1123456[[#This Row],[b (mm)]],Y66))*(MIN(Table1123456[[#This Row],[b (mm)]],Y66)^4/(12*MAX(Table1123456[[#This Row],[b (mm)]],Y66)^4)))*MAX(Table1123456[[#This Row],[b (mm)]],Y66)*MIN(Table1123456[[#This Row],[b (mm)]],Y66)^3</f>
        <v>69678906877.611313</v>
      </c>
      <c r="AF66" s="111">
        <f>Table1123456[[#This Row],[b (mm)]]*Y66^3/12</f>
        <v>39004778472.666664</v>
      </c>
      <c r="AG66" s="160">
        <v>4928</v>
      </c>
      <c r="AH66" s="138"/>
      <c r="AI66" s="126"/>
    </row>
    <row r="67" spans="1:42" s="1" customFormat="1" x14ac:dyDescent="0.25">
      <c r="A67" s="159" t="s">
        <v>101</v>
      </c>
      <c r="B67" s="150">
        <v>4</v>
      </c>
      <c r="C67" s="111">
        <v>80</v>
      </c>
      <c r="D67" s="111">
        <f>Table1123456[[#This Row],[a (mm)]]/Table1123456[[#This Row],[d (mm)]]</f>
        <v>3</v>
      </c>
      <c r="E67" s="111">
        <v>422.56000000000006</v>
      </c>
      <c r="F67" s="137">
        <f>Table1123456[[#This Row],[d (mm)]]</f>
        <v>822</v>
      </c>
      <c r="G67" s="135">
        <f t="shared" si="8"/>
        <v>1042032.9600000002</v>
      </c>
      <c r="H67" s="135">
        <f t="shared" si="9"/>
        <v>1.0143806554271164E-6</v>
      </c>
      <c r="I67" s="135">
        <f>G67/(Table1123456[[#This Row],[b (mm)]]*X67^2)</f>
        <v>2.5158071468546462E-3</v>
      </c>
      <c r="J67" s="135">
        <f t="shared" si="10"/>
        <v>0.36836438923395454</v>
      </c>
      <c r="K67" s="135">
        <f t="shared" si="11"/>
        <v>1.9313340928843329E-7</v>
      </c>
      <c r="L67" s="135">
        <f>E67/(Table1123456[[#This Row],[b (mm)]]*X67)</f>
        <v>8.3860238228488206E-4</v>
      </c>
      <c r="M67" s="135">
        <f>Table1123456[[#This Row],[M (KN.mm)]]/(Table1123456[[#This Row],[b (mm)]]*Table1123456[[#This Row],[d (mm)]])</f>
        <v>2.0679934747145192</v>
      </c>
      <c r="N67" s="135">
        <f>Table1123456[[#This Row],[M (KN.mm)]]/(Table1123456[[#This Row],[b (mm)]]*Table1123456[[#This Row],[h (mm)]])</f>
        <v>1.8598365822924887</v>
      </c>
      <c r="O67" s="145">
        <f>Table1123456[[#This Row],[M (KN.mm)]]/(Table1123456[[#This Row],[b (mm)]]*Table1123456[[#This Row],[h (mm)]]*Table1123456[[#This Row],[L(mm)]])</f>
        <v>3.7740190387428751E-4</v>
      </c>
      <c r="P67" s="145">
        <f>Table1123456[[#This Row],[M (KN.mm)]]/(Table1123456[[#This Row],[b (mm)]]*Table1123456[[#This Row],[d (mm)]]*Table1123456[[#This Row],[L(mm)]])</f>
        <v>4.1964153301836832E-4</v>
      </c>
      <c r="Q67" s="145">
        <f>Table1123456[[#This Row],[M (KN.mm)]]/(Table1123456[[#This Row],[b (mm)]]*Table1123456[[#This Row],[h (mm)]]*Table1123456[[#This Row],[L(mm)]]*Table1123456[[#This Row],[fc (Mpa)]])</f>
        <v>5.1769808487556581E-6</v>
      </c>
      <c r="R67" s="145">
        <f>Table1123456[[#This Row],[M (KN.mm)]]/(Table1123456[[#This Row],[b (mm)]]*Table1123456[[#This Row],[h (mm)]]*Table1123456[[#This Row],[L(mm)]]/2)</f>
        <v>7.5480380774857502E-4</v>
      </c>
      <c r="S67" s="145">
        <f>Table1123456[[#This Row],[M (KN.mm)]]/(Table1123456[[#This Row],[a (mm)]]*Table1123456[[#This Row],[b (mm)]]*Table1123456[[#This Row],[h (mm)]]*Table1123456[[#This Row],[L(mm)]]/2)</f>
        <v>3.0608426916000608E-7</v>
      </c>
      <c r="T67" s="111">
        <f>G67/($AJ$5*AF67*0.001*Table1123456[[#This Row],[pho (%)]])</f>
        <v>7.8029281186701259E-7</v>
      </c>
      <c r="U67" s="145">
        <f>Table1123456[[#This Row],[M (KN.mm)]]/(Table1123456[[#This Row],[b (mm)]]*Table1123456[[#This Row],[d (mm)]]*Table1123456[[#This Row],[pho (%)]])</f>
        <v>1.5907642113188607</v>
      </c>
      <c r="V67" s="145">
        <f>E67/(Table1123456[[#This Row],[b (mm)]]*Y67*Table1123456[[#This Row],[fc (Mpa)]]*Table1123456[[#This Row],[a (mm)]])</f>
        <v>4.1952815587476915E-9</v>
      </c>
      <c r="W67" s="111">
        <f>3*Table1123456[[#This Row],[d (mm)]]</f>
        <v>2466</v>
      </c>
      <c r="X67" s="160">
        <v>822</v>
      </c>
      <c r="Y67" s="160">
        <v>914</v>
      </c>
      <c r="Z67" s="160">
        <v>613</v>
      </c>
      <c r="AA67" s="160">
        <v>72.900000000000006</v>
      </c>
      <c r="AB67" s="160">
        <v>6555</v>
      </c>
      <c r="AC67" s="160">
        <v>1.3</v>
      </c>
      <c r="AD67" s="160">
        <v>525</v>
      </c>
      <c r="AE67" s="111">
        <f>(1/3-0.21*(MIN(Table1123456[[#This Row],[b (mm)]],Y67)/MAX(Table1123456[[#This Row],[b (mm)]],Y67))*(MIN(Table1123456[[#This Row],[b (mm)]],Y67)^4/(12*MAX(Table1123456[[#This Row],[b (mm)]],Y67)^4)))*MAX(Table1123456[[#This Row],[b (mm)]],Y67)*MIN(Table1123456[[#This Row],[b (mm)]],Y67)^3</f>
        <v>69678906877.611313</v>
      </c>
      <c r="AF67" s="111">
        <f>Table1123456[[#This Row],[b (mm)]]*Y67^3/12</f>
        <v>39004778472.666664</v>
      </c>
      <c r="AG67" s="160">
        <v>4928</v>
      </c>
      <c r="AH67" s="138"/>
      <c r="AI67" s="126"/>
      <c r="AL67" s="2"/>
      <c r="AM67" s="2"/>
      <c r="AN67" s="2"/>
      <c r="AO67" s="2"/>
      <c r="AP67" s="2"/>
    </row>
    <row r="68" spans="1:42" s="1" customFormat="1" x14ac:dyDescent="0.25">
      <c r="A68" s="159" t="s">
        <v>101</v>
      </c>
      <c r="B68" s="150">
        <v>5</v>
      </c>
      <c r="C68" s="111">
        <v>81</v>
      </c>
      <c r="D68" s="111">
        <f>Table1123456[[#This Row],[a (mm)]]/Table1123456[[#This Row],[d (mm)]]</f>
        <v>3</v>
      </c>
      <c r="E68" s="111">
        <v>444.80000000000007</v>
      </c>
      <c r="F68" s="137">
        <f>Table1123456[[#This Row],[d (mm)]]</f>
        <v>822</v>
      </c>
      <c r="G68" s="135">
        <f t="shared" si="8"/>
        <v>1096876.8000000003</v>
      </c>
      <c r="H68" s="135">
        <f t="shared" si="9"/>
        <v>1.0677691109759121E-6</v>
      </c>
      <c r="I68" s="135">
        <f>G68/(Table1123456[[#This Row],[b (mm)]]*X68^2)</f>
        <v>2.6482180493206803E-3</v>
      </c>
      <c r="J68" s="135">
        <f t="shared" si="10"/>
        <v>0.38775198866732058</v>
      </c>
      <c r="K68" s="135">
        <f t="shared" si="11"/>
        <v>2.0329832556677189E-7</v>
      </c>
      <c r="L68" s="135">
        <f>E68/(Table1123456[[#This Row],[b (mm)]]*X68)</f>
        <v>8.8273934977356006E-4</v>
      </c>
      <c r="M68" s="135">
        <f>Table1123456[[#This Row],[M (KN.mm)]]/(Table1123456[[#This Row],[b (mm)]]*Table1123456[[#This Row],[d (mm)]])</f>
        <v>2.1768352365415993</v>
      </c>
      <c r="N68" s="135">
        <f>Table1123456[[#This Row],[M (KN.mm)]]/(Table1123456[[#This Row],[b (mm)]]*Table1123456[[#This Row],[h (mm)]])</f>
        <v>1.95772271820262</v>
      </c>
      <c r="O68" s="145">
        <f>Table1123456[[#This Row],[M (KN.mm)]]/(Table1123456[[#This Row],[b (mm)]]*Table1123456[[#This Row],[h (mm)]]*Table1123456[[#This Row],[L(mm)]])</f>
        <v>3.9726516197293425E-4</v>
      </c>
      <c r="P68" s="145">
        <f>Table1123456[[#This Row],[M (KN.mm)]]/(Table1123456[[#This Row],[b (mm)]]*Table1123456[[#This Row],[d (mm)]]*Table1123456[[#This Row],[L(mm)]])</f>
        <v>4.4172792949301933E-4</v>
      </c>
      <c r="Q68" s="145">
        <f>Table1123456[[#This Row],[M (KN.mm)]]/(Table1123456[[#This Row],[b (mm)]]*Table1123456[[#This Row],[h (mm)]]*Table1123456[[#This Row],[L(mm)]]*Table1123456[[#This Row],[fc (Mpa)]])</f>
        <v>5.4494535250059563E-6</v>
      </c>
      <c r="R68" s="145">
        <f>Table1123456[[#This Row],[M (KN.mm)]]/(Table1123456[[#This Row],[b (mm)]]*Table1123456[[#This Row],[h (mm)]]*Table1123456[[#This Row],[L(mm)]]/2)</f>
        <v>7.945303239458685E-4</v>
      </c>
      <c r="S68" s="145">
        <f>Table1123456[[#This Row],[M (KN.mm)]]/(Table1123456[[#This Row],[a (mm)]]*Table1123456[[#This Row],[b (mm)]]*Table1123456[[#This Row],[h (mm)]]*Table1123456[[#This Row],[L(mm)]]/2)</f>
        <v>3.2219396753684852E-7</v>
      </c>
      <c r="T68" s="111">
        <f>G68/($AJ$5*AF68*0.001*Table1123456[[#This Row],[pho (%)]])</f>
        <v>8.2136085459685538E-7</v>
      </c>
      <c r="U68" s="145">
        <f>Table1123456[[#This Row],[M (KN.mm)]]/(Table1123456[[#This Row],[b (mm)]]*Table1123456[[#This Row],[d (mm)]]*Table1123456[[#This Row],[pho (%)]])</f>
        <v>1.6744886434935378</v>
      </c>
      <c r="V68" s="145">
        <f>E68/(Table1123456[[#This Row],[b (mm)]]*Y68*Table1123456[[#This Row],[fc (Mpa)]]*Table1123456[[#This Row],[a (mm)]])</f>
        <v>4.4160858513133599E-9</v>
      </c>
      <c r="W68" s="111">
        <f>3*Table1123456[[#This Row],[d (mm)]]</f>
        <v>2466</v>
      </c>
      <c r="X68" s="160">
        <v>822</v>
      </c>
      <c r="Y68" s="160">
        <v>914</v>
      </c>
      <c r="Z68" s="160">
        <v>613</v>
      </c>
      <c r="AA68" s="160">
        <v>72.900000000000006</v>
      </c>
      <c r="AB68" s="160">
        <v>6555</v>
      </c>
      <c r="AC68" s="160">
        <v>1.3</v>
      </c>
      <c r="AD68" s="160">
        <v>525</v>
      </c>
      <c r="AE68" s="111">
        <f>(1/3-0.21*(MIN(Table1123456[[#This Row],[b (mm)]],Y68)/MAX(Table1123456[[#This Row],[b (mm)]],Y68))*(MIN(Table1123456[[#This Row],[b (mm)]],Y68)^4/(12*MAX(Table1123456[[#This Row],[b (mm)]],Y68)^4)))*MAX(Table1123456[[#This Row],[b (mm)]],Y68)*MIN(Table1123456[[#This Row],[b (mm)]],Y68)^3</f>
        <v>69678906877.611313</v>
      </c>
      <c r="AF68" s="111">
        <f>Table1123456[[#This Row],[b (mm)]]*Y68^3/12</f>
        <v>39004778472.666664</v>
      </c>
      <c r="AG68" s="160">
        <v>4928</v>
      </c>
      <c r="AH68" s="138"/>
      <c r="AI68" s="126"/>
      <c r="AL68" s="2"/>
      <c r="AM68" s="2"/>
      <c r="AN68" s="2"/>
      <c r="AO68" s="2"/>
      <c r="AP68" s="2"/>
    </row>
    <row r="69" spans="1:42" s="1" customFormat="1" x14ac:dyDescent="0.25">
      <c r="A69" s="159" t="s">
        <v>101</v>
      </c>
      <c r="B69" s="150">
        <v>6</v>
      </c>
      <c r="C69" s="111">
        <v>82</v>
      </c>
      <c r="D69" s="111">
        <f>Table1123456[[#This Row],[a (mm)]]/Table1123456[[#This Row],[d (mm)]]</f>
        <v>3</v>
      </c>
      <c r="E69" s="111">
        <v>467.04</v>
      </c>
      <c r="F69" s="137">
        <f>Table1123456[[#This Row],[d (mm)]]</f>
        <v>822</v>
      </c>
      <c r="G69" s="135">
        <f t="shared" si="8"/>
        <v>1151720.6400000001</v>
      </c>
      <c r="H69" s="135">
        <f t="shared" si="9"/>
        <v>1.1211575665247077E-6</v>
      </c>
      <c r="I69" s="135">
        <f>G69/(Table1123456[[#This Row],[b (mm)]]*X69^2)</f>
        <v>2.7806289517867139E-3</v>
      </c>
      <c r="J69" s="135">
        <f t="shared" si="10"/>
        <v>0.40713958810068657</v>
      </c>
      <c r="K69" s="135">
        <f t="shared" si="11"/>
        <v>2.1346324184511046E-7</v>
      </c>
      <c r="L69" s="135">
        <f>E69/(Table1123456[[#This Row],[b (mm)]]*X69)</f>
        <v>9.2687631726223795E-4</v>
      </c>
      <c r="M69" s="135">
        <f>Table1123456[[#This Row],[M (KN.mm)]]/(Table1123456[[#This Row],[b (mm)]]*Table1123456[[#This Row],[d (mm)]])</f>
        <v>2.2856769983686789</v>
      </c>
      <c r="N69" s="135">
        <f>Table1123456[[#This Row],[M (KN.mm)]]/(Table1123456[[#This Row],[b (mm)]]*Table1123456[[#This Row],[h (mm)]])</f>
        <v>2.0556088541127506</v>
      </c>
      <c r="O69" s="145">
        <f>Table1123456[[#This Row],[M (KN.mm)]]/(Table1123456[[#This Row],[b (mm)]]*Table1123456[[#This Row],[h (mm)]]*Table1123456[[#This Row],[L(mm)]])</f>
        <v>4.1712842007158088E-4</v>
      </c>
      <c r="P69" s="145">
        <f>Table1123456[[#This Row],[M (KN.mm)]]/(Table1123456[[#This Row],[b (mm)]]*Table1123456[[#This Row],[d (mm)]]*Table1123456[[#This Row],[L(mm)]])</f>
        <v>4.6381432596767023E-4</v>
      </c>
      <c r="Q69" s="145">
        <f>Table1123456[[#This Row],[M (KN.mm)]]/(Table1123456[[#This Row],[b (mm)]]*Table1123456[[#This Row],[h (mm)]]*Table1123456[[#This Row],[L(mm)]]*Table1123456[[#This Row],[fc (Mpa)]])</f>
        <v>5.7219262012562527E-6</v>
      </c>
      <c r="R69" s="145">
        <f>Table1123456[[#This Row],[M (KN.mm)]]/(Table1123456[[#This Row],[b (mm)]]*Table1123456[[#This Row],[h (mm)]]*Table1123456[[#This Row],[L(mm)]]/2)</f>
        <v>8.3425684014316176E-4</v>
      </c>
      <c r="S69" s="145">
        <f>Table1123456[[#This Row],[M (KN.mm)]]/(Table1123456[[#This Row],[a (mm)]]*Table1123456[[#This Row],[b (mm)]]*Table1123456[[#This Row],[h (mm)]]*Table1123456[[#This Row],[L(mm)]]/2)</f>
        <v>3.3830366591369091E-7</v>
      </c>
      <c r="T69" s="111">
        <f>G69/($AJ$5*AF69*0.001*Table1123456[[#This Row],[pho (%)]])</f>
        <v>8.6242889732669806E-7</v>
      </c>
      <c r="U69" s="145">
        <f>Table1123456[[#This Row],[M (KN.mm)]]/(Table1123456[[#This Row],[b (mm)]]*Table1123456[[#This Row],[d (mm)]]*Table1123456[[#This Row],[pho (%)]])</f>
        <v>1.7582130756682144</v>
      </c>
      <c r="V69" s="145">
        <f>E69/(Table1123456[[#This Row],[b (mm)]]*Y69*Table1123456[[#This Row],[fc (Mpa)]]*Table1123456[[#This Row],[a (mm)]])</f>
        <v>4.6368901438790274E-9</v>
      </c>
      <c r="W69" s="111">
        <f>3*Table1123456[[#This Row],[d (mm)]]</f>
        <v>2466</v>
      </c>
      <c r="X69" s="160">
        <v>822</v>
      </c>
      <c r="Y69" s="160">
        <v>914</v>
      </c>
      <c r="Z69" s="160">
        <v>613</v>
      </c>
      <c r="AA69" s="160">
        <v>72.900000000000006</v>
      </c>
      <c r="AB69" s="160">
        <v>6555</v>
      </c>
      <c r="AC69" s="160">
        <v>1.3</v>
      </c>
      <c r="AD69" s="160">
        <v>525</v>
      </c>
      <c r="AE69" s="111">
        <f>(1/3-0.21*(MIN(Table1123456[[#This Row],[b (mm)]],Y69)/MAX(Table1123456[[#This Row],[b (mm)]],Y69))*(MIN(Table1123456[[#This Row],[b (mm)]],Y69)^4/(12*MAX(Table1123456[[#This Row],[b (mm)]],Y69)^4)))*MAX(Table1123456[[#This Row],[b (mm)]],Y69)*MIN(Table1123456[[#This Row],[b (mm)]],Y69)^3</f>
        <v>69678906877.611313</v>
      </c>
      <c r="AF69" s="111">
        <f>Table1123456[[#This Row],[b (mm)]]*Y69^3/12</f>
        <v>39004778472.666664</v>
      </c>
      <c r="AG69" s="160">
        <v>4928</v>
      </c>
      <c r="AH69" s="138"/>
      <c r="AI69" s="126"/>
      <c r="AL69" s="2"/>
      <c r="AM69" s="2"/>
      <c r="AN69" s="2"/>
      <c r="AO69" s="2"/>
      <c r="AP69" s="2"/>
    </row>
    <row r="70" spans="1:42" s="1" customFormat="1" x14ac:dyDescent="0.25">
      <c r="A70" s="159" t="s">
        <v>101</v>
      </c>
      <c r="B70" s="150">
        <v>7</v>
      </c>
      <c r="C70" s="111">
        <v>83</v>
      </c>
      <c r="D70" s="111">
        <f>Table1123456[[#This Row],[a (mm)]]/Table1123456[[#This Row],[d (mm)]]</f>
        <v>3</v>
      </c>
      <c r="E70" s="111">
        <v>489.28000000000003</v>
      </c>
      <c r="F70" s="137">
        <f>Table1123456[[#This Row],[d (mm)]]</f>
        <v>822</v>
      </c>
      <c r="G70" s="135">
        <f t="shared" si="8"/>
        <v>1206564.48</v>
      </c>
      <c r="H70" s="135">
        <f t="shared" si="9"/>
        <v>1.174546022073503E-6</v>
      </c>
      <c r="I70" s="135">
        <f>G70/(Table1123456[[#This Row],[b (mm)]]*X70^2)</f>
        <v>2.9130398542527476E-3</v>
      </c>
      <c r="J70" s="135">
        <f t="shared" si="10"/>
        <v>0.4265271875340525</v>
      </c>
      <c r="K70" s="135">
        <f t="shared" si="11"/>
        <v>2.2362815812344906E-7</v>
      </c>
      <c r="L70" s="135">
        <f>E70/(Table1123456[[#This Row],[b (mm)]]*X70)</f>
        <v>9.7101328475091594E-4</v>
      </c>
      <c r="M70" s="135">
        <f>Table1123456[[#This Row],[M (KN.mm)]]/(Table1123456[[#This Row],[b (mm)]]*Table1123456[[#This Row],[d (mm)]])</f>
        <v>2.3945187601957585</v>
      </c>
      <c r="N70" s="135">
        <f>Table1123456[[#This Row],[M (KN.mm)]]/(Table1123456[[#This Row],[b (mm)]]*Table1123456[[#This Row],[h (mm)]])</f>
        <v>2.1534949900228813</v>
      </c>
      <c r="O70" s="145">
        <f>Table1123456[[#This Row],[M (KN.mm)]]/(Table1123456[[#This Row],[b (mm)]]*Table1123456[[#This Row],[h (mm)]]*Table1123456[[#This Row],[L(mm)]])</f>
        <v>4.3699167817022751E-4</v>
      </c>
      <c r="P70" s="145">
        <f>Table1123456[[#This Row],[M (KN.mm)]]/(Table1123456[[#This Row],[b (mm)]]*Table1123456[[#This Row],[d (mm)]]*Table1123456[[#This Row],[L(mm)]])</f>
        <v>4.8590072244232113E-4</v>
      </c>
      <c r="Q70" s="145">
        <f>Table1123456[[#This Row],[M (KN.mm)]]/(Table1123456[[#This Row],[b (mm)]]*Table1123456[[#This Row],[h (mm)]]*Table1123456[[#This Row],[L(mm)]]*Table1123456[[#This Row],[fc (Mpa)]])</f>
        <v>5.9943988775065501E-6</v>
      </c>
      <c r="R70" s="145">
        <f>Table1123456[[#This Row],[M (KN.mm)]]/(Table1123456[[#This Row],[b (mm)]]*Table1123456[[#This Row],[h (mm)]]*Table1123456[[#This Row],[L(mm)]]/2)</f>
        <v>8.7398335634045502E-4</v>
      </c>
      <c r="S70" s="145">
        <f>Table1123456[[#This Row],[M (KN.mm)]]/(Table1123456[[#This Row],[a (mm)]]*Table1123456[[#This Row],[b (mm)]]*Table1123456[[#This Row],[h (mm)]]*Table1123456[[#This Row],[L(mm)]]/2)</f>
        <v>3.5441336429053329E-7</v>
      </c>
      <c r="T70" s="111">
        <f>G70/($AJ$5*AF70*0.001*Table1123456[[#This Row],[pho (%)]])</f>
        <v>9.0349694005654064E-7</v>
      </c>
      <c r="U70" s="145">
        <f>Table1123456[[#This Row],[M (KN.mm)]]/(Table1123456[[#This Row],[b (mm)]]*Table1123456[[#This Row],[d (mm)]]*Table1123456[[#This Row],[pho (%)]])</f>
        <v>1.841937507842891</v>
      </c>
      <c r="V70" s="145">
        <f>E70/(Table1123456[[#This Row],[b (mm)]]*Y70*Table1123456[[#This Row],[fc (Mpa)]]*Table1123456[[#This Row],[a (mm)]])</f>
        <v>4.8576944364446958E-9</v>
      </c>
      <c r="W70" s="111">
        <f>3*Table1123456[[#This Row],[d (mm)]]</f>
        <v>2466</v>
      </c>
      <c r="X70" s="160">
        <v>822</v>
      </c>
      <c r="Y70" s="160">
        <v>914</v>
      </c>
      <c r="Z70" s="160">
        <v>613</v>
      </c>
      <c r="AA70" s="160">
        <v>72.900000000000006</v>
      </c>
      <c r="AB70" s="160">
        <v>6555</v>
      </c>
      <c r="AC70" s="160">
        <v>1.3</v>
      </c>
      <c r="AD70" s="160">
        <v>525</v>
      </c>
      <c r="AE70" s="111">
        <f>(1/3-0.21*(MIN(Table1123456[[#This Row],[b (mm)]],Y70)/MAX(Table1123456[[#This Row],[b (mm)]],Y70))*(MIN(Table1123456[[#This Row],[b (mm)]],Y70)^4/(12*MAX(Table1123456[[#This Row],[b (mm)]],Y70)^4)))*MAX(Table1123456[[#This Row],[b (mm)]],Y70)*MIN(Table1123456[[#This Row],[b (mm)]],Y70)^3</f>
        <v>69678906877.611313</v>
      </c>
      <c r="AF70" s="111">
        <f>Table1123456[[#This Row],[b (mm)]]*Y70^3/12</f>
        <v>39004778472.666664</v>
      </c>
      <c r="AG70" s="160">
        <v>4928</v>
      </c>
      <c r="AH70" s="138"/>
      <c r="AI70" s="126"/>
      <c r="AL70" s="2"/>
      <c r="AM70" s="2"/>
      <c r="AN70" s="2"/>
      <c r="AO70" s="2"/>
      <c r="AP70" s="2"/>
    </row>
    <row r="71" spans="1:42" s="1" customFormat="1" x14ac:dyDescent="0.25">
      <c r="A71" s="159" t="s">
        <v>101</v>
      </c>
      <c r="B71" s="150">
        <v>8</v>
      </c>
      <c r="C71" s="111">
        <v>84</v>
      </c>
      <c r="D71" s="111">
        <f>Table1123456[[#This Row],[a (mm)]]/Table1123456[[#This Row],[d (mm)]]</f>
        <v>3</v>
      </c>
      <c r="E71" s="111">
        <v>511.52000000000004</v>
      </c>
      <c r="F71" s="137">
        <f>Table1123456[[#This Row],[d (mm)]]</f>
        <v>822</v>
      </c>
      <c r="G71" s="135">
        <f t="shared" si="8"/>
        <v>1261408.32</v>
      </c>
      <c r="H71" s="135">
        <f t="shared" si="9"/>
        <v>1.2279344776222987E-6</v>
      </c>
      <c r="I71" s="135">
        <f>G71/(Table1123456[[#This Row],[b (mm)]]*X71^2)</f>
        <v>3.0454507567187817E-3</v>
      </c>
      <c r="J71" s="135">
        <f t="shared" si="10"/>
        <v>0.4459147869674186</v>
      </c>
      <c r="K71" s="135">
        <f t="shared" si="11"/>
        <v>2.3379307440178765E-7</v>
      </c>
      <c r="L71" s="135">
        <f>E71/(Table1123456[[#This Row],[b (mm)]]*X71)</f>
        <v>1.015150252239594E-3</v>
      </c>
      <c r="M71" s="135">
        <f>Table1123456[[#This Row],[M (KN.mm)]]/(Table1123456[[#This Row],[b (mm)]]*Table1123456[[#This Row],[d (mm)]])</f>
        <v>2.5033605220228385</v>
      </c>
      <c r="N71" s="135">
        <f>Table1123456[[#This Row],[M (KN.mm)]]/(Table1123456[[#This Row],[b (mm)]]*Table1123456[[#This Row],[h (mm)]])</f>
        <v>2.2513811259330123</v>
      </c>
      <c r="O71" s="145">
        <f>Table1123456[[#This Row],[M (KN.mm)]]/(Table1123456[[#This Row],[b (mm)]]*Table1123456[[#This Row],[h (mm)]]*Table1123456[[#This Row],[L(mm)]])</f>
        <v>4.5685493626887425E-4</v>
      </c>
      <c r="P71" s="145">
        <f>Table1123456[[#This Row],[M (KN.mm)]]/(Table1123456[[#This Row],[b (mm)]]*Table1123456[[#This Row],[d (mm)]]*Table1123456[[#This Row],[L(mm)]])</f>
        <v>5.0798711891697208E-4</v>
      </c>
      <c r="Q71" s="145">
        <f>Table1123456[[#This Row],[M (KN.mm)]]/(Table1123456[[#This Row],[b (mm)]]*Table1123456[[#This Row],[h (mm)]]*Table1123456[[#This Row],[L(mm)]]*Table1123456[[#This Row],[fc (Mpa)]])</f>
        <v>6.2668715537568482E-6</v>
      </c>
      <c r="R71" s="145">
        <f>Table1123456[[#This Row],[M (KN.mm)]]/(Table1123456[[#This Row],[b (mm)]]*Table1123456[[#This Row],[h (mm)]]*Table1123456[[#This Row],[L(mm)]]/2)</f>
        <v>9.137098725377485E-4</v>
      </c>
      <c r="S71" s="145">
        <f>Table1123456[[#This Row],[M (KN.mm)]]/(Table1123456[[#This Row],[a (mm)]]*Table1123456[[#This Row],[b (mm)]]*Table1123456[[#This Row],[h (mm)]]*Table1123456[[#This Row],[L(mm)]]/2)</f>
        <v>3.7052306266737573E-7</v>
      </c>
      <c r="T71" s="111">
        <f>G71/($AJ$5*AF71*0.001*Table1123456[[#This Row],[pho (%)]])</f>
        <v>9.4456498278638354E-7</v>
      </c>
      <c r="U71" s="145">
        <f>Table1123456[[#This Row],[M (KN.mm)]]/(Table1123456[[#This Row],[b (mm)]]*Table1123456[[#This Row],[d (mm)]]*Table1123456[[#This Row],[pho (%)]])</f>
        <v>1.9256619400175681</v>
      </c>
      <c r="V71" s="145">
        <f>E71/(Table1123456[[#This Row],[b (mm)]]*Y71*Table1123456[[#This Row],[fc (Mpa)]]*Table1123456[[#This Row],[a (mm)]])</f>
        <v>5.0784987290103633E-9</v>
      </c>
      <c r="W71" s="111">
        <f>3*Table1123456[[#This Row],[d (mm)]]</f>
        <v>2466</v>
      </c>
      <c r="X71" s="160">
        <v>822</v>
      </c>
      <c r="Y71" s="160">
        <v>914</v>
      </c>
      <c r="Z71" s="160">
        <v>613</v>
      </c>
      <c r="AA71" s="160">
        <v>72.900000000000006</v>
      </c>
      <c r="AB71" s="160">
        <v>6555</v>
      </c>
      <c r="AC71" s="160">
        <v>1.3</v>
      </c>
      <c r="AD71" s="160">
        <v>525</v>
      </c>
      <c r="AE71" s="111">
        <f>(1/3-0.21*(MIN(Table1123456[[#This Row],[b (mm)]],Y71)/MAX(Table1123456[[#This Row],[b (mm)]],Y71))*(MIN(Table1123456[[#This Row],[b (mm)]],Y71)^4/(12*MAX(Table1123456[[#This Row],[b (mm)]],Y71)^4)))*MAX(Table1123456[[#This Row],[b (mm)]],Y71)*MIN(Table1123456[[#This Row],[b (mm)]],Y71)^3</f>
        <v>69678906877.611313</v>
      </c>
      <c r="AF71" s="111">
        <f>Table1123456[[#This Row],[b (mm)]]*Y71^3/12</f>
        <v>39004778472.666664</v>
      </c>
      <c r="AG71" s="160">
        <v>4928</v>
      </c>
      <c r="AH71" s="138"/>
      <c r="AI71" s="126"/>
      <c r="AL71" s="2"/>
      <c r="AM71" s="2"/>
      <c r="AN71" s="2"/>
      <c r="AO71" s="2"/>
      <c r="AP71" s="2"/>
    </row>
    <row r="72" spans="1:42" s="1" customFormat="1" x14ac:dyDescent="0.25">
      <c r="A72" s="159" t="s">
        <v>101</v>
      </c>
      <c r="B72" s="150">
        <v>9</v>
      </c>
      <c r="C72" s="111">
        <v>85</v>
      </c>
      <c r="D72" s="111">
        <f>Table1123456[[#This Row],[a (mm)]]/Table1123456[[#This Row],[d (mm)]]</f>
        <v>3</v>
      </c>
      <c r="E72" s="111">
        <v>533.76</v>
      </c>
      <c r="F72" s="137">
        <f>Table1123456[[#This Row],[d (mm)]]</f>
        <v>822</v>
      </c>
      <c r="G72" s="135">
        <f t="shared" si="8"/>
        <v>1316252.1599999999</v>
      </c>
      <c r="H72" s="135">
        <f t="shared" si="9"/>
        <v>1.2813229331710941E-6</v>
      </c>
      <c r="I72" s="135">
        <f>G72/(Table1123456[[#This Row],[b (mm)]]*X72^2)</f>
        <v>3.1778616591848154E-3</v>
      </c>
      <c r="J72" s="135">
        <f t="shared" si="10"/>
        <v>0.46530238640078453</v>
      </c>
      <c r="K72" s="135">
        <f t="shared" si="11"/>
        <v>2.439579906801262E-7</v>
      </c>
      <c r="L72" s="135">
        <f>E72/(Table1123456[[#This Row],[b (mm)]]*X72)</f>
        <v>1.0592872197282719E-3</v>
      </c>
      <c r="M72" s="135">
        <f>Table1123456[[#This Row],[M (KN.mm)]]/(Table1123456[[#This Row],[b (mm)]]*Table1123456[[#This Row],[d (mm)]])</f>
        <v>2.6122022838499181</v>
      </c>
      <c r="N72" s="135">
        <f>Table1123456[[#This Row],[M (KN.mm)]]/(Table1123456[[#This Row],[b (mm)]]*Table1123456[[#This Row],[h (mm)]])</f>
        <v>2.3492672618431429</v>
      </c>
      <c r="O72" s="145">
        <f>Table1123456[[#This Row],[M (KN.mm)]]/(Table1123456[[#This Row],[b (mm)]]*Table1123456[[#This Row],[h (mm)]]*Table1123456[[#This Row],[L(mm)]])</f>
        <v>4.7671819436752094E-4</v>
      </c>
      <c r="P72" s="145">
        <f>Table1123456[[#This Row],[M (KN.mm)]]/(Table1123456[[#This Row],[b (mm)]]*Table1123456[[#This Row],[d (mm)]]*Table1123456[[#This Row],[L(mm)]])</f>
        <v>5.3007351539162298E-4</v>
      </c>
      <c r="Q72" s="145">
        <f>Table1123456[[#This Row],[M (KN.mm)]]/(Table1123456[[#This Row],[b (mm)]]*Table1123456[[#This Row],[h (mm)]]*Table1123456[[#This Row],[L(mm)]]*Table1123456[[#This Row],[fc (Mpa)]])</f>
        <v>6.5393442300071447E-6</v>
      </c>
      <c r="R72" s="145">
        <f>Table1123456[[#This Row],[M (KN.mm)]]/(Table1123456[[#This Row],[b (mm)]]*Table1123456[[#This Row],[h (mm)]]*Table1123456[[#This Row],[L(mm)]]/2)</f>
        <v>9.5343638873504187E-4</v>
      </c>
      <c r="S72" s="145">
        <f>Table1123456[[#This Row],[M (KN.mm)]]/(Table1123456[[#This Row],[a (mm)]]*Table1123456[[#This Row],[b (mm)]]*Table1123456[[#This Row],[h (mm)]]*Table1123456[[#This Row],[L(mm)]]/2)</f>
        <v>3.8663276104421811E-7</v>
      </c>
      <c r="T72" s="111">
        <f>G72/($AJ$5*AF72*0.001*Table1123456[[#This Row],[pho (%)]])</f>
        <v>9.8563302551622612E-7</v>
      </c>
      <c r="U72" s="145">
        <f>Table1123456[[#This Row],[M (KN.mm)]]/(Table1123456[[#This Row],[b (mm)]]*Table1123456[[#This Row],[d (mm)]]*Table1123456[[#This Row],[pho (%)]])</f>
        <v>2.0093863721922447</v>
      </c>
      <c r="V72" s="145">
        <f>E72/(Table1123456[[#This Row],[b (mm)]]*Y72*Table1123456[[#This Row],[fc (Mpa)]]*Table1123456[[#This Row],[a (mm)]])</f>
        <v>5.2993030215760308E-9</v>
      </c>
      <c r="W72" s="111">
        <f>3*Table1123456[[#This Row],[d (mm)]]</f>
        <v>2466</v>
      </c>
      <c r="X72" s="160">
        <v>822</v>
      </c>
      <c r="Y72" s="160">
        <v>914</v>
      </c>
      <c r="Z72" s="160">
        <v>613</v>
      </c>
      <c r="AA72" s="160">
        <v>72.900000000000006</v>
      </c>
      <c r="AB72" s="160">
        <v>6555</v>
      </c>
      <c r="AC72" s="160">
        <v>1.3</v>
      </c>
      <c r="AD72" s="160">
        <v>525</v>
      </c>
      <c r="AE72" s="111">
        <f>(1/3-0.21*(MIN(Table1123456[[#This Row],[b (mm)]],Y72)/MAX(Table1123456[[#This Row],[b (mm)]],Y72))*(MIN(Table1123456[[#This Row],[b (mm)]],Y72)^4/(12*MAX(Table1123456[[#This Row],[b (mm)]],Y72)^4)))*MAX(Table1123456[[#This Row],[b (mm)]],Y72)*MIN(Table1123456[[#This Row],[b (mm)]],Y72)^3</f>
        <v>69678906877.611313</v>
      </c>
      <c r="AF72" s="111">
        <f>Table1123456[[#This Row],[b (mm)]]*Y72^3/12</f>
        <v>39004778472.666664</v>
      </c>
      <c r="AG72" s="160">
        <v>4928</v>
      </c>
      <c r="AH72" s="138"/>
      <c r="AI72" s="126"/>
      <c r="AL72" s="2"/>
      <c r="AM72" s="2"/>
      <c r="AN72" s="2"/>
      <c r="AO72" s="2"/>
      <c r="AP72" s="2"/>
    </row>
    <row r="73" spans="1:42" s="1" customFormat="1" x14ac:dyDescent="0.25">
      <c r="A73" s="159" t="s">
        <v>101</v>
      </c>
      <c r="B73" s="150">
        <v>10</v>
      </c>
      <c r="C73" s="111">
        <v>86</v>
      </c>
      <c r="D73" s="111">
        <f>Table1123456[[#This Row],[a (mm)]]/Table1123456[[#This Row],[d (mm)]]</f>
        <v>3</v>
      </c>
      <c r="E73" s="111">
        <v>556</v>
      </c>
      <c r="F73" s="137">
        <f>Table1123456[[#This Row],[d (mm)]]</f>
        <v>822</v>
      </c>
      <c r="G73" s="135">
        <f t="shared" si="8"/>
        <v>1371096</v>
      </c>
      <c r="H73" s="135">
        <f t="shared" si="9"/>
        <v>1.3347113887198898E-6</v>
      </c>
      <c r="I73" s="135">
        <f>G73/(Table1123456[[#This Row],[b (mm)]]*X73^2)</f>
        <v>3.3102725616508495E-3</v>
      </c>
      <c r="J73" s="135">
        <f t="shared" si="10"/>
        <v>0.48468998583415057</v>
      </c>
      <c r="K73" s="135">
        <f t="shared" si="11"/>
        <v>2.541229069584648E-7</v>
      </c>
      <c r="L73" s="135">
        <f>E73/(Table1123456[[#This Row],[b (mm)]]*X73)</f>
        <v>1.1034241872169498E-3</v>
      </c>
      <c r="M73" s="135">
        <f>Table1123456[[#This Row],[M (KN.mm)]]/(Table1123456[[#This Row],[b (mm)]]*Table1123456[[#This Row],[d (mm)]])</f>
        <v>2.7210440456769982</v>
      </c>
      <c r="N73" s="135">
        <f>Table1123456[[#This Row],[M (KN.mm)]]/(Table1123456[[#This Row],[b (mm)]]*Table1123456[[#This Row],[h (mm)]])</f>
        <v>2.4471533977532745</v>
      </c>
      <c r="O73" s="145">
        <f>Table1123456[[#This Row],[M (KN.mm)]]/(Table1123456[[#This Row],[b (mm)]]*Table1123456[[#This Row],[h (mm)]]*Table1123456[[#This Row],[L(mm)]])</f>
        <v>4.9658145246616768E-4</v>
      </c>
      <c r="P73" s="145">
        <f>Table1123456[[#This Row],[M (KN.mm)]]/(Table1123456[[#This Row],[b (mm)]]*Table1123456[[#This Row],[d (mm)]]*Table1123456[[#This Row],[L(mm)]])</f>
        <v>5.5215991186627399E-4</v>
      </c>
      <c r="Q73" s="145">
        <f>Table1123456[[#This Row],[M (KN.mm)]]/(Table1123456[[#This Row],[b (mm)]]*Table1123456[[#This Row],[h (mm)]]*Table1123456[[#This Row],[L(mm)]]*Table1123456[[#This Row],[fc (Mpa)]])</f>
        <v>6.8118169062574428E-6</v>
      </c>
      <c r="R73" s="145">
        <f>Table1123456[[#This Row],[M (KN.mm)]]/(Table1123456[[#This Row],[b (mm)]]*Table1123456[[#This Row],[h (mm)]]*Table1123456[[#This Row],[L(mm)]]/2)</f>
        <v>9.9316290493233535E-4</v>
      </c>
      <c r="S73" s="145">
        <f>Table1123456[[#This Row],[M (KN.mm)]]/(Table1123456[[#This Row],[a (mm)]]*Table1123456[[#This Row],[b (mm)]]*Table1123456[[#This Row],[h (mm)]]*Table1123456[[#This Row],[L(mm)]]/2)</f>
        <v>4.0274245942106055E-7</v>
      </c>
      <c r="T73" s="111">
        <f>G73/($AJ$5*AF73*0.001*Table1123456[[#This Row],[pho (%)]])</f>
        <v>1.0267010682460689E-6</v>
      </c>
      <c r="U73" s="145">
        <f>Table1123456[[#This Row],[M (KN.mm)]]/(Table1123456[[#This Row],[b (mm)]]*Table1123456[[#This Row],[d (mm)]]*Table1123456[[#This Row],[pho (%)]])</f>
        <v>2.0931108043669218</v>
      </c>
      <c r="V73" s="145">
        <f>E73/(Table1123456[[#This Row],[b (mm)]]*Y73*Table1123456[[#This Row],[fc (Mpa)]]*Table1123456[[#This Row],[a (mm)]])</f>
        <v>5.5201073141416992E-9</v>
      </c>
      <c r="W73" s="111">
        <f>3*Table1123456[[#This Row],[d (mm)]]</f>
        <v>2466</v>
      </c>
      <c r="X73" s="160">
        <v>822</v>
      </c>
      <c r="Y73" s="160">
        <v>914</v>
      </c>
      <c r="Z73" s="160">
        <v>613</v>
      </c>
      <c r="AA73" s="160">
        <v>72.900000000000006</v>
      </c>
      <c r="AB73" s="160">
        <v>6555</v>
      </c>
      <c r="AC73" s="160">
        <v>1.3</v>
      </c>
      <c r="AD73" s="160">
        <v>525</v>
      </c>
      <c r="AE73" s="111">
        <f>(1/3-0.21*(MIN(Table1123456[[#This Row],[b (mm)]],Y73)/MAX(Table1123456[[#This Row],[b (mm)]],Y73))*(MIN(Table1123456[[#This Row],[b (mm)]],Y73)^4/(12*MAX(Table1123456[[#This Row],[b (mm)]],Y73)^4)))*MAX(Table1123456[[#This Row],[b (mm)]],Y73)*MIN(Table1123456[[#This Row],[b (mm)]],Y73)^3</f>
        <v>69678906877.611313</v>
      </c>
      <c r="AF73" s="111">
        <f>Table1123456[[#This Row],[b (mm)]]*Y73^3/12</f>
        <v>39004778472.666664</v>
      </c>
      <c r="AG73" s="160">
        <v>4928</v>
      </c>
      <c r="AH73" s="138"/>
      <c r="AI73" s="126"/>
      <c r="AL73" s="2"/>
      <c r="AM73" s="2"/>
      <c r="AN73" s="2"/>
      <c r="AO73" s="2"/>
      <c r="AP73" s="2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AR331"/>
  <sheetViews>
    <sheetView topLeftCell="R1" zoomScaleNormal="100" workbookViewId="0">
      <selection activeCell="T4" sqref="T4"/>
    </sheetView>
  </sheetViews>
  <sheetFormatPr defaultRowHeight="15" x14ac:dyDescent="0.25"/>
  <cols>
    <col min="1" max="1" width="15" style="140" customWidth="1"/>
    <col min="2" max="2" width="8.28515625" style="2" customWidth="1"/>
    <col min="3" max="3" width="7.42578125" style="2" customWidth="1"/>
    <col min="4" max="4" width="9.42578125" style="188" customWidth="1"/>
    <col min="5" max="5" width="10.85546875" style="2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7.7109375" style="2" customWidth="1"/>
    <col min="11" max="11" width="8.85546875" style="2" customWidth="1"/>
    <col min="12" max="12" width="8.42578125" style="2" customWidth="1"/>
    <col min="13" max="17" width="10" style="2" customWidth="1"/>
    <col min="18" max="24" width="14.71093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customWidth="1"/>
    <col min="37" max="37" width="13.5703125" style="2" customWidth="1"/>
    <col min="38" max="38" width="12.42578125" style="1" customWidth="1"/>
    <col min="39" max="39" width="9.140625" style="1"/>
    <col min="40" max="16384" width="9.140625" style="2"/>
  </cols>
  <sheetData>
    <row r="1" spans="1:44" ht="80.25" customHeight="1" thickBot="1" x14ac:dyDescent="0.3">
      <c r="A1" s="151" t="s">
        <v>59</v>
      </c>
      <c r="B1" s="104" t="s">
        <v>57</v>
      </c>
      <c r="C1" s="104" t="s">
        <v>58</v>
      </c>
      <c r="D1" s="187" t="s">
        <v>194</v>
      </c>
      <c r="E1" s="17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17" t="s">
        <v>19</v>
      </c>
      <c r="M1" s="17" t="s">
        <v>53</v>
      </c>
      <c r="N1" s="17" t="s">
        <v>54</v>
      </c>
      <c r="O1" s="17" t="s">
        <v>79</v>
      </c>
      <c r="P1" s="17" t="s">
        <v>81</v>
      </c>
      <c r="Q1" s="17" t="s">
        <v>82</v>
      </c>
      <c r="R1" s="17" t="s">
        <v>84</v>
      </c>
      <c r="S1" s="17" t="s">
        <v>85</v>
      </c>
      <c r="T1" s="3" t="s">
        <v>296</v>
      </c>
      <c r="U1" s="17" t="s">
        <v>90</v>
      </c>
      <c r="V1" s="17" t="s">
        <v>139</v>
      </c>
      <c r="W1" s="17" t="s">
        <v>102</v>
      </c>
      <c r="X1" s="17" t="s">
        <v>295</v>
      </c>
      <c r="Y1" s="17" t="s">
        <v>5</v>
      </c>
      <c r="Z1" s="17" t="s">
        <v>9</v>
      </c>
      <c r="AA1" s="17" t="s">
        <v>12</v>
      </c>
      <c r="AB1" s="17" t="s">
        <v>76</v>
      </c>
      <c r="AC1" s="17" t="s">
        <v>77</v>
      </c>
      <c r="AD1" s="17" t="s">
        <v>10</v>
      </c>
      <c r="AE1" s="17" t="s">
        <v>11</v>
      </c>
      <c r="AF1" s="17" t="s">
        <v>18</v>
      </c>
      <c r="AG1" s="17" t="s">
        <v>15</v>
      </c>
      <c r="AH1" s="17" t="s">
        <v>17</v>
      </c>
      <c r="AI1" s="17" t="s">
        <v>78</v>
      </c>
      <c r="AJ1" t="s">
        <v>50</v>
      </c>
      <c r="AK1" s="1" t="s">
        <v>75</v>
      </c>
      <c r="AL1" s="1" t="s">
        <v>80</v>
      </c>
      <c r="AM1" s="1" t="s">
        <v>89</v>
      </c>
    </row>
    <row r="2" spans="1:44" ht="15.75" thickBot="1" x14ac:dyDescent="0.3">
      <c r="A2" s="301" t="s">
        <v>212</v>
      </c>
      <c r="B2" s="302">
        <v>1</v>
      </c>
      <c r="C2" s="302">
        <v>1</v>
      </c>
      <c r="D2" s="302">
        <f>Table112345791011[[#This Row],[a (mm)]]/Table112345791011[[#This Row],[d (mm)]]</f>
        <v>5.0037999999999991</v>
      </c>
      <c r="E2" s="302">
        <v>40</v>
      </c>
      <c r="F2" s="303">
        <f>Table112345791011[[#This Row],[d (mm)]]</f>
        <v>300</v>
      </c>
      <c r="G2" s="304">
        <f>E2*Y2</f>
        <v>60045.599999999991</v>
      </c>
      <c r="H2" s="304">
        <f t="shared" ref="H2:H8" si="0">G2/($AL$5*AH2*0.001)</f>
        <v>3.1905505085830128E-6</v>
      </c>
      <c r="I2" s="304">
        <f>G2/(Table112345791011[[#This Row],[b (mm)]]*Z2^2)</f>
        <v>3.3358666666666661E-3</v>
      </c>
      <c r="J2" s="304">
        <f t="shared" ref="J2:J8" si="1">G2/(AD2*AF2*Z2*0.001)</f>
        <v>0.34689891243121446</v>
      </c>
      <c r="K2" s="304">
        <f t="shared" ref="K2:K8" si="2">E2/($AL$4*AG2*0.001)</f>
        <v>1.369256958406844E-6</v>
      </c>
      <c r="L2" s="304">
        <f>E2/(Table112345791011[[#This Row],[b (mm)]]*Z2)</f>
        <v>6.6666666666666664E-4</v>
      </c>
      <c r="M2" s="304">
        <f>Table112345791011[[#This Row],[M (KN.mm)]]/(Table112345791011[[#This Row],[b (mm)]]*Table112345791011[[#This Row],[d (mm)]])</f>
        <v>1.0007599999999999</v>
      </c>
      <c r="N2" s="304">
        <f>Table112345791011[[#This Row],[M (KN.mm)]]/(Table112345791011[[#This Row],[b (mm)]]*Table112345791011[[#This Row],[h (mm)]])</f>
        <v>0.85779428571428562</v>
      </c>
      <c r="O2" s="304">
        <f>Table112345791011[[#This Row],[M (KN.mm)]]/(Table112345791011[[#This Row],[b (mm)]]*Table112345791011[[#This Row],[h (mm)]]*Table112345791011[[#This Row],[L(mm)]])</f>
        <v>2.8571428571428574E-4</v>
      </c>
      <c r="P2" s="304">
        <f>Table112345791011[[#This Row],[M (KN.mm)]]/(Table112345791011[[#This Row],[b (mm)]]*Table112345791011[[#This Row],[d (mm)]]*Table112345791011[[#This Row],[L(mm)]])</f>
        <v>3.3333333333333332E-4</v>
      </c>
      <c r="Q2" s="304">
        <f>Table112345791011[[#This Row],[M (KN.mm)]]/(Table112345791011[[#This Row],[b (mm)]]*Table112345791011[[#This Row],[h (mm)]]*Table112345791011[[#This Row],[L(mm)]]*Table112345791011[[#This Row],[fc (Mpa)]])</f>
        <v>5.8072009291521478E-6</v>
      </c>
      <c r="R2" s="304">
        <f>Table112345791011[[#This Row],[M (KN.mm)]]/(Table112345791011[[#This Row],[b (mm)]]*Table112345791011[[#This Row],[h (mm)]]*Table112345791011[[#This Row],[L(mm)]]/2)</f>
        <v>5.7142857142857147E-4</v>
      </c>
      <c r="S2" s="304">
        <f>Table112345791011[[#This Row],[M (KN.mm)]]/(Table112345791011[[#This Row],[a (mm)]]*Table112345791011[[#This Row],[b (mm)]]*Table112345791011[[#This Row],[h (mm)]]*Table112345791011[[#This Row],[L(mm)]]/2)</f>
        <v>3.8066307701385038E-7</v>
      </c>
      <c r="T2" s="304">
        <f>G2/($AL$5*AH2*0.001*Table112345791011[[#This Row],[pho (%)]])</f>
        <v>2.0321977761675242E-6</v>
      </c>
      <c r="U2" s="304">
        <f>Table112345791011[[#This Row],[M (KN.mm)]]/(Table112345791011[[#This Row],[b (mm)]]*Table112345791011[[#This Row],[d (mm)]]*Table112345791011[[#This Row],[pho (%)]])</f>
        <v>0.63742675159235662</v>
      </c>
      <c r="V2" s="304">
        <f>E2*224.8/(2*SQRT(Table112345791011[[#This Row],[fc (Mpa)]]*145.037)*Table112345791011[[#This Row],[b (mm)]]*Table112345791011[[#This Row],[d (mm)]]*(1/25.4)^2)</f>
        <v>0.57229576218827727</v>
      </c>
      <c r="W2" s="304">
        <f>Table112345791011[[#This Row],[M (KN.mm)]]/$G$8</f>
        <v>0.25252525252525249</v>
      </c>
      <c r="X2" s="111">
        <f>V2</f>
        <v>0.57229576218827727</v>
      </c>
      <c r="Y2" s="304">
        <f>59.1*25.4</f>
        <v>1501.1399999999999</v>
      </c>
      <c r="Z2" s="304">
        <v>300</v>
      </c>
      <c r="AA2" s="304">
        <v>350</v>
      </c>
      <c r="AB2" s="304">
        <v>200</v>
      </c>
      <c r="AC2" s="36">
        <v>49.2</v>
      </c>
      <c r="AD2" s="304">
        <f>Table112345791011[[#This Row],[pho (%)]]*Table112345791011[[#This Row],[b (mm)]]*Table112345791011[[#This Row],[h (mm)]]/100</f>
        <v>1099</v>
      </c>
      <c r="AE2" s="304">
        <v>1.57</v>
      </c>
      <c r="AF2" s="304">
        <v>525</v>
      </c>
      <c r="AG2" s="304">
        <f>(1/3-0.21*(MIN(Table112345791011[[#This Row],[b (mm)]],AA2)/MAX(Table112345791011[[#This Row],[b (mm)]],AA2))*(MIN(Table112345791011[[#This Row],[b (mm)]],AA2)^4/(12*MAX(Table112345791011[[#This Row],[b (mm)]],AA2)^4)))*MAX(Table112345791011[[#This Row],[b (mm)]],AA2)*MIN(Table112345791011[[#This Row],[b (mm)]],AA2)^3</f>
        <v>930347910.59280849</v>
      </c>
      <c r="AH2" s="304">
        <f>Table112345791011[[#This Row],[b (mm)]]*AA2^3/12</f>
        <v>714583333.33333337</v>
      </c>
      <c r="AI2" s="305">
        <f>Table112345791011[[#This Row],[a (mm)]]*2</f>
        <v>3002.2799999999997</v>
      </c>
      <c r="AK2" s="1"/>
    </row>
    <row r="3" spans="1:44" ht="15.75" thickBot="1" x14ac:dyDescent="0.3">
      <c r="A3" s="306" t="s">
        <v>212</v>
      </c>
      <c r="B3" s="185">
        <v>2</v>
      </c>
      <c r="C3" s="185">
        <v>2</v>
      </c>
      <c r="D3" s="185">
        <f>Table112345791011[[#This Row],[a (mm)]]/Table112345791011[[#This Row],[d (mm)]]</f>
        <v>5.0037999999999991</v>
      </c>
      <c r="E3" s="185">
        <v>60</v>
      </c>
      <c r="F3" s="303">
        <f>Table112345791011[[#This Row],[d (mm)]]</f>
        <v>300</v>
      </c>
      <c r="G3" s="111">
        <f t="shared" ref="G3:G8" si="3">E3*Y3</f>
        <v>90068.4</v>
      </c>
      <c r="H3" s="111">
        <f t="shared" si="0"/>
        <v>4.7858257628745201E-6</v>
      </c>
      <c r="I3" s="111">
        <f>G3/(Table112345791011[[#This Row],[b (mm)]]*Z3^2)</f>
        <v>5.0038000000000001E-3</v>
      </c>
      <c r="J3" s="111">
        <f t="shared" si="1"/>
        <v>0.52034836864682177</v>
      </c>
      <c r="K3" s="111">
        <f t="shared" si="2"/>
        <v>2.053885437610266E-6</v>
      </c>
      <c r="L3" s="111">
        <f>E3/(Table112345791011[[#This Row],[b (mm)]]*Z3)</f>
        <v>1E-3</v>
      </c>
      <c r="M3" s="111">
        <f>Table112345791011[[#This Row],[M (KN.mm)]]/(Table112345791011[[#This Row],[b (mm)]]*Table112345791011[[#This Row],[d (mm)]])</f>
        <v>1.5011399999999999</v>
      </c>
      <c r="N3" s="111">
        <f>Table112345791011[[#This Row],[M (KN.mm)]]/(Table112345791011[[#This Row],[b (mm)]]*Table112345791011[[#This Row],[h (mm)]])</f>
        <v>1.2866914285714286</v>
      </c>
      <c r="O3" s="111">
        <f>Table112345791011[[#This Row],[M (KN.mm)]]/(Table112345791011[[#This Row],[b (mm)]]*Table112345791011[[#This Row],[h (mm)]]*Table112345791011[[#This Row],[L(mm)]])</f>
        <v>4.285714285714286E-4</v>
      </c>
      <c r="P3" s="111">
        <f>Table112345791011[[#This Row],[M (KN.mm)]]/(Table112345791011[[#This Row],[b (mm)]]*Table112345791011[[#This Row],[d (mm)]]*Table112345791011[[#This Row],[L(mm)]])</f>
        <v>5.0000000000000001E-4</v>
      </c>
      <c r="Q3" s="111">
        <f>Table112345791011[[#This Row],[M (KN.mm)]]/(Table112345791011[[#This Row],[b (mm)]]*Table112345791011[[#This Row],[h (mm)]]*Table112345791011[[#This Row],[L(mm)]]*Table112345791011[[#This Row],[fc (Mpa)]])</f>
        <v>8.710801393728223E-6</v>
      </c>
      <c r="R3" s="111">
        <f>Table112345791011[[#This Row],[M (KN.mm)]]/(Table112345791011[[#This Row],[b (mm)]]*Table112345791011[[#This Row],[h (mm)]]*Table112345791011[[#This Row],[L(mm)]]/2)</f>
        <v>8.5714285714285721E-4</v>
      </c>
      <c r="S3" s="111">
        <f>Table112345791011[[#This Row],[M (KN.mm)]]/(Table112345791011[[#This Row],[a (mm)]]*Table112345791011[[#This Row],[b (mm)]]*Table112345791011[[#This Row],[h (mm)]]*Table112345791011[[#This Row],[L(mm)]]/2)</f>
        <v>5.7099461552077562E-7</v>
      </c>
      <c r="T3" s="304">
        <f>G3/($AL$5*AH3*0.001*Table112345791011[[#This Row],[pho (%)]])</f>
        <v>3.0482966642512862E-6</v>
      </c>
      <c r="U3" s="111">
        <f>Table112345791011[[#This Row],[M (KN.mm)]]/(Table112345791011[[#This Row],[b (mm)]]*Table112345791011[[#This Row],[d (mm)]]*Table112345791011[[#This Row],[pho (%)]])</f>
        <v>0.95614012738853493</v>
      </c>
      <c r="V3" s="111">
        <f>E3*224.8/(2*SQRT(Table112345791011[[#This Row],[fc (Mpa)]]*145.037)*Table112345791011[[#This Row],[b (mm)]]*Table112345791011[[#This Row],[d (mm)]]*(1/25.4)^2)</f>
        <v>0.85844364328241585</v>
      </c>
      <c r="W3" s="304">
        <f>Table112345791011[[#This Row],[M (KN.mm)]]/$G$8</f>
        <v>0.37878787878787878</v>
      </c>
      <c r="X3" s="111">
        <f t="shared" ref="X3:X29" si="4">V3</f>
        <v>0.85844364328241585</v>
      </c>
      <c r="Y3" s="111">
        <f t="shared" ref="Y3:Y22" si="5">59.1*25.4</f>
        <v>1501.1399999999999</v>
      </c>
      <c r="Z3" s="111">
        <v>300</v>
      </c>
      <c r="AA3" s="111">
        <v>350</v>
      </c>
      <c r="AB3" s="111">
        <v>200</v>
      </c>
      <c r="AC3" s="7">
        <v>49.2</v>
      </c>
      <c r="AD3" s="111">
        <f>Table112345791011[[#This Row],[pho (%)]]*Table112345791011[[#This Row],[b (mm)]]*Table112345791011[[#This Row],[h (mm)]]/100</f>
        <v>1099</v>
      </c>
      <c r="AE3" s="111">
        <v>1.57</v>
      </c>
      <c r="AF3" s="111">
        <v>525</v>
      </c>
      <c r="AG3" s="111">
        <f>(1/3-0.21*(MIN(Table112345791011[[#This Row],[b (mm)]],AA3)/MAX(Table112345791011[[#This Row],[b (mm)]],AA3))*(MIN(Table112345791011[[#This Row],[b (mm)]],AA3)^4/(12*MAX(Table112345791011[[#This Row],[b (mm)]],AA3)^4)))*MAX(Table112345791011[[#This Row],[b (mm)]],AA3)*MIN(Table112345791011[[#This Row],[b (mm)]],AA3)^3</f>
        <v>930347910.59280849</v>
      </c>
      <c r="AH3" s="111">
        <f>Table112345791011[[#This Row],[b (mm)]]*AA3^3/12</f>
        <v>714583333.33333337</v>
      </c>
      <c r="AI3" s="307">
        <f>Table112345791011[[#This Row],[a (mm)]]*2</f>
        <v>3002.2799999999997</v>
      </c>
      <c r="AK3" s="1"/>
    </row>
    <row r="4" spans="1:44" ht="15.75" thickBot="1" x14ac:dyDescent="0.3">
      <c r="A4" s="306" t="s">
        <v>212</v>
      </c>
      <c r="B4" s="185">
        <v>3</v>
      </c>
      <c r="C4" s="185">
        <v>3</v>
      </c>
      <c r="D4" s="185">
        <f>Table112345791011[[#This Row],[a (mm)]]/Table112345791011[[#This Row],[d (mm)]]</f>
        <v>5.0037999999999991</v>
      </c>
      <c r="E4" s="185">
        <v>80</v>
      </c>
      <c r="F4" s="303">
        <f>Table112345791011[[#This Row],[d (mm)]]</f>
        <v>300</v>
      </c>
      <c r="G4" s="111">
        <f t="shared" si="3"/>
        <v>120091.19999999998</v>
      </c>
      <c r="H4" s="111">
        <f t="shared" si="0"/>
        <v>6.3811010171660256E-6</v>
      </c>
      <c r="I4" s="111">
        <f>G4/(Table112345791011[[#This Row],[b (mm)]]*Z4^2)</f>
        <v>6.6717333333333323E-3</v>
      </c>
      <c r="J4" s="111">
        <f t="shared" si="1"/>
        <v>0.69379782486242891</v>
      </c>
      <c r="K4" s="111">
        <f t="shared" si="2"/>
        <v>2.738513916813688E-6</v>
      </c>
      <c r="L4" s="111">
        <f>E4/(Table112345791011[[#This Row],[b (mm)]]*Z4)</f>
        <v>1.3333333333333333E-3</v>
      </c>
      <c r="M4" s="111">
        <f>Table112345791011[[#This Row],[M (KN.mm)]]/(Table112345791011[[#This Row],[b (mm)]]*Table112345791011[[#This Row],[d (mm)]])</f>
        <v>2.0015199999999997</v>
      </c>
      <c r="N4" s="111">
        <f>Table112345791011[[#This Row],[M (KN.mm)]]/(Table112345791011[[#This Row],[b (mm)]]*Table112345791011[[#This Row],[h (mm)]])</f>
        <v>1.7155885714285712</v>
      </c>
      <c r="O4" s="111">
        <f>Table112345791011[[#This Row],[M (KN.mm)]]/(Table112345791011[[#This Row],[b (mm)]]*Table112345791011[[#This Row],[h (mm)]]*Table112345791011[[#This Row],[L(mm)]])</f>
        <v>5.7142857142857147E-4</v>
      </c>
      <c r="P4" s="111">
        <f>Table112345791011[[#This Row],[M (KN.mm)]]/(Table112345791011[[#This Row],[b (mm)]]*Table112345791011[[#This Row],[d (mm)]]*Table112345791011[[#This Row],[L(mm)]])</f>
        <v>6.6666666666666664E-4</v>
      </c>
      <c r="Q4" s="111">
        <f>Table112345791011[[#This Row],[M (KN.mm)]]/(Table112345791011[[#This Row],[b (mm)]]*Table112345791011[[#This Row],[h (mm)]]*Table112345791011[[#This Row],[L(mm)]]*Table112345791011[[#This Row],[fc (Mpa)]])</f>
        <v>1.1614401858304296E-5</v>
      </c>
      <c r="R4" s="111">
        <f>Table112345791011[[#This Row],[M (KN.mm)]]/(Table112345791011[[#This Row],[b (mm)]]*Table112345791011[[#This Row],[h (mm)]]*Table112345791011[[#This Row],[L(mm)]]/2)</f>
        <v>1.1428571428571429E-3</v>
      </c>
      <c r="S4" s="111">
        <f>Table112345791011[[#This Row],[M (KN.mm)]]/(Table112345791011[[#This Row],[a (mm)]]*Table112345791011[[#This Row],[b (mm)]]*Table112345791011[[#This Row],[h (mm)]]*Table112345791011[[#This Row],[L(mm)]]/2)</f>
        <v>7.6132615402770076E-7</v>
      </c>
      <c r="T4" s="304">
        <f>G4/($AL$5*AH4*0.001*Table112345791011[[#This Row],[pho (%)]])</f>
        <v>4.0643955523350485E-6</v>
      </c>
      <c r="U4" s="111">
        <f>Table112345791011[[#This Row],[M (KN.mm)]]/(Table112345791011[[#This Row],[b (mm)]]*Table112345791011[[#This Row],[d (mm)]]*Table112345791011[[#This Row],[pho (%)]])</f>
        <v>1.2748535031847132</v>
      </c>
      <c r="V4" s="111">
        <f>E4*224.8/(2*SQRT(Table112345791011[[#This Row],[fc (Mpa)]]*145.037)*Table112345791011[[#This Row],[b (mm)]]*Table112345791011[[#This Row],[d (mm)]]*(1/25.4)^2)</f>
        <v>1.1445915243765545</v>
      </c>
      <c r="W4" s="304">
        <f>Table112345791011[[#This Row],[M (KN.mm)]]/$G$8</f>
        <v>0.50505050505050497</v>
      </c>
      <c r="X4" s="111">
        <f t="shared" si="4"/>
        <v>1.1445915243765545</v>
      </c>
      <c r="Y4" s="111">
        <f t="shared" si="5"/>
        <v>1501.1399999999999</v>
      </c>
      <c r="Z4" s="111">
        <v>300</v>
      </c>
      <c r="AA4" s="111">
        <v>350</v>
      </c>
      <c r="AB4" s="111">
        <v>200</v>
      </c>
      <c r="AC4" s="7">
        <v>49.2</v>
      </c>
      <c r="AD4" s="111">
        <f>Table112345791011[[#This Row],[pho (%)]]*Table112345791011[[#This Row],[b (mm)]]*Table112345791011[[#This Row],[h (mm)]]/100</f>
        <v>1099</v>
      </c>
      <c r="AE4" s="111">
        <v>1.57</v>
      </c>
      <c r="AF4" s="111">
        <v>525</v>
      </c>
      <c r="AG4" s="111">
        <f>(1/3-0.21*(MIN(Table112345791011[[#This Row],[b (mm)]],AA4)/MAX(Table112345791011[[#This Row],[b (mm)]],AA4))*(MIN(Table112345791011[[#This Row],[b (mm)]],AA4)^4/(12*MAX(Table112345791011[[#This Row],[b (mm)]],AA4)^4)))*MAX(Table112345791011[[#This Row],[b (mm)]],AA4)*MIN(Table112345791011[[#This Row],[b (mm)]],AA4)^3</f>
        <v>930347910.59280849</v>
      </c>
      <c r="AH4" s="111">
        <f>Table112345791011[[#This Row],[b (mm)]]*AA4^3/12</f>
        <v>714583333.33333337</v>
      </c>
      <c r="AI4" s="307">
        <f>Table112345791011[[#This Row],[a (mm)]]*2</f>
        <v>3002.2799999999997</v>
      </c>
      <c r="AK4" s="126" t="s">
        <v>7</v>
      </c>
      <c r="AL4" s="107">
        <v>31.4</v>
      </c>
    </row>
    <row r="5" spans="1:44" ht="15.75" thickBot="1" x14ac:dyDescent="0.3">
      <c r="A5" s="306" t="s">
        <v>212</v>
      </c>
      <c r="B5" s="185">
        <v>4</v>
      </c>
      <c r="C5" s="185">
        <v>4</v>
      </c>
      <c r="D5" s="185">
        <f>Table112345791011[[#This Row],[a (mm)]]/Table112345791011[[#This Row],[d (mm)]]</f>
        <v>5.0037999999999991</v>
      </c>
      <c r="E5" s="185">
        <v>100</v>
      </c>
      <c r="F5" s="303">
        <f>Table112345791011[[#This Row],[d (mm)]]</f>
        <v>300</v>
      </c>
      <c r="G5" s="111">
        <f t="shared" si="3"/>
        <v>150114</v>
      </c>
      <c r="H5" s="111">
        <f t="shared" si="0"/>
        <v>7.9763762714575337E-6</v>
      </c>
      <c r="I5" s="111">
        <f>G5/(Table112345791011[[#This Row],[b (mm)]]*Z5^2)</f>
        <v>8.3396666666666671E-3</v>
      </c>
      <c r="J5" s="111">
        <f t="shared" si="1"/>
        <v>0.86724728107803628</v>
      </c>
      <c r="K5" s="111">
        <f t="shared" si="2"/>
        <v>3.42314239601711E-6</v>
      </c>
      <c r="L5" s="111">
        <f>E5/(Table112345791011[[#This Row],[b (mm)]]*Z5)</f>
        <v>1.6666666666666668E-3</v>
      </c>
      <c r="M5" s="111">
        <f>Table112345791011[[#This Row],[M (KN.mm)]]/(Table112345791011[[#This Row],[b (mm)]]*Table112345791011[[#This Row],[d (mm)]])</f>
        <v>2.5019</v>
      </c>
      <c r="N5" s="111">
        <f>Table112345791011[[#This Row],[M (KN.mm)]]/(Table112345791011[[#This Row],[b (mm)]]*Table112345791011[[#This Row],[h (mm)]])</f>
        <v>2.1444857142857141</v>
      </c>
      <c r="O5" s="111">
        <f>Table112345791011[[#This Row],[M (KN.mm)]]/(Table112345791011[[#This Row],[b (mm)]]*Table112345791011[[#This Row],[h (mm)]]*Table112345791011[[#This Row],[L(mm)]])</f>
        <v>7.1428571428571439E-4</v>
      </c>
      <c r="P5" s="111">
        <f>Table112345791011[[#This Row],[M (KN.mm)]]/(Table112345791011[[#This Row],[b (mm)]]*Table112345791011[[#This Row],[d (mm)]]*Table112345791011[[#This Row],[L(mm)]])</f>
        <v>8.333333333333335E-4</v>
      </c>
      <c r="Q5" s="111">
        <f>Table112345791011[[#This Row],[M (KN.mm)]]/(Table112345791011[[#This Row],[b (mm)]]*Table112345791011[[#This Row],[h (mm)]]*Table112345791011[[#This Row],[L(mm)]]*Table112345791011[[#This Row],[fc (Mpa)]])</f>
        <v>1.4518002322880372E-5</v>
      </c>
      <c r="R5" s="111">
        <f>Table112345791011[[#This Row],[M (KN.mm)]]/(Table112345791011[[#This Row],[b (mm)]]*Table112345791011[[#This Row],[h (mm)]]*Table112345791011[[#This Row],[L(mm)]]/2)</f>
        <v>1.4285714285714288E-3</v>
      </c>
      <c r="S5" s="111">
        <f>Table112345791011[[#This Row],[M (KN.mm)]]/(Table112345791011[[#This Row],[a (mm)]]*Table112345791011[[#This Row],[b (mm)]]*Table112345791011[[#This Row],[h (mm)]]*Table112345791011[[#This Row],[L(mm)]]/2)</f>
        <v>9.516576925346261E-7</v>
      </c>
      <c r="T5" s="304">
        <f>G5/($AL$5*AH5*0.001*Table112345791011[[#This Row],[pho (%)]])</f>
        <v>5.0804944404188113E-6</v>
      </c>
      <c r="U5" s="111">
        <f>Table112345791011[[#This Row],[M (KN.mm)]]/(Table112345791011[[#This Row],[b (mm)]]*Table112345791011[[#This Row],[d (mm)]]*Table112345791011[[#This Row],[pho (%)]])</f>
        <v>1.5935668789808917</v>
      </c>
      <c r="V5" s="111">
        <f>E5*224.8/(2*SQRT(Table112345791011[[#This Row],[fc (Mpa)]]*145.037)*Table112345791011[[#This Row],[b (mm)]]*Table112345791011[[#This Row],[d (mm)]]*(1/25.4)^2)</f>
        <v>1.4307394054706932</v>
      </c>
      <c r="W5" s="304">
        <f>Table112345791011[[#This Row],[M (KN.mm)]]/$G$8</f>
        <v>0.63131313131313127</v>
      </c>
      <c r="X5" s="111">
        <f t="shared" si="4"/>
        <v>1.4307394054706932</v>
      </c>
      <c r="Y5" s="111">
        <f t="shared" si="5"/>
        <v>1501.1399999999999</v>
      </c>
      <c r="Z5" s="111">
        <v>300</v>
      </c>
      <c r="AA5" s="111">
        <v>350</v>
      </c>
      <c r="AB5" s="111">
        <v>200</v>
      </c>
      <c r="AC5" s="7">
        <v>49.2</v>
      </c>
      <c r="AD5" s="111">
        <f>Table112345791011[[#This Row],[pho (%)]]*Table112345791011[[#This Row],[b (mm)]]*Table112345791011[[#This Row],[h (mm)]]/100</f>
        <v>1099</v>
      </c>
      <c r="AE5" s="111">
        <v>1.57</v>
      </c>
      <c r="AF5" s="111">
        <v>525</v>
      </c>
      <c r="AG5" s="111">
        <f>(1/3-0.21*(MIN(Table112345791011[[#This Row],[b (mm)]],AA5)/MAX(Table112345791011[[#This Row],[b (mm)]],AA5))*(MIN(Table112345791011[[#This Row],[b (mm)]],AA5)^4/(12*MAX(Table112345791011[[#This Row],[b (mm)]],AA5)^4)))*MAX(Table112345791011[[#This Row],[b (mm)]],AA5)*MIN(Table112345791011[[#This Row],[b (mm)]],AA5)^3</f>
        <v>930347910.59280849</v>
      </c>
      <c r="AH5" s="111">
        <f>Table112345791011[[#This Row],[b (mm)]]*AA5^3/12</f>
        <v>714583333.33333337</v>
      </c>
      <c r="AI5" s="307">
        <f>Table112345791011[[#This Row],[a (mm)]]*2</f>
        <v>3002.2799999999997</v>
      </c>
      <c r="AK5" s="126" t="s">
        <v>8</v>
      </c>
      <c r="AL5" s="107">
        <f>4700*SQRT(AL4)</f>
        <v>26336.780365109171</v>
      </c>
    </row>
    <row r="6" spans="1:44" ht="15.75" thickBot="1" x14ac:dyDescent="0.3">
      <c r="A6" s="306" t="s">
        <v>212</v>
      </c>
      <c r="B6" s="185">
        <v>5</v>
      </c>
      <c r="C6" s="185">
        <v>5</v>
      </c>
      <c r="D6" s="185">
        <f>Table112345791011[[#This Row],[a (mm)]]/Table112345791011[[#This Row],[d (mm)]]</f>
        <v>5.0037999999999991</v>
      </c>
      <c r="E6" s="185">
        <v>120</v>
      </c>
      <c r="F6" s="303">
        <f>Table112345791011[[#This Row],[d (mm)]]</f>
        <v>300</v>
      </c>
      <c r="G6" s="111">
        <f t="shared" si="3"/>
        <v>180136.8</v>
      </c>
      <c r="H6" s="111">
        <f t="shared" si="0"/>
        <v>9.5716515257490401E-6</v>
      </c>
      <c r="I6" s="111">
        <f>G6/(Table112345791011[[#This Row],[b (mm)]]*Z6^2)</f>
        <v>1.00076E-2</v>
      </c>
      <c r="J6" s="111">
        <f t="shared" si="1"/>
        <v>1.0406967372936435</v>
      </c>
      <c r="K6" s="111">
        <f t="shared" si="2"/>
        <v>4.107770875220532E-6</v>
      </c>
      <c r="L6" s="111">
        <f>E6/(Table112345791011[[#This Row],[b (mm)]]*Z6)</f>
        <v>2E-3</v>
      </c>
      <c r="M6" s="111">
        <f>Table112345791011[[#This Row],[M (KN.mm)]]/(Table112345791011[[#This Row],[b (mm)]]*Table112345791011[[#This Row],[d (mm)]])</f>
        <v>3.0022799999999998</v>
      </c>
      <c r="N6" s="111">
        <f>Table112345791011[[#This Row],[M (KN.mm)]]/(Table112345791011[[#This Row],[b (mm)]]*Table112345791011[[#This Row],[h (mm)]])</f>
        <v>2.5733828571428572</v>
      </c>
      <c r="O6" s="111">
        <f>Table112345791011[[#This Row],[M (KN.mm)]]/(Table112345791011[[#This Row],[b (mm)]]*Table112345791011[[#This Row],[h (mm)]]*Table112345791011[[#This Row],[L(mm)]])</f>
        <v>8.5714285714285721E-4</v>
      </c>
      <c r="P6" s="111">
        <f>Table112345791011[[#This Row],[M (KN.mm)]]/(Table112345791011[[#This Row],[b (mm)]]*Table112345791011[[#This Row],[d (mm)]]*Table112345791011[[#This Row],[L(mm)]])</f>
        <v>1E-3</v>
      </c>
      <c r="Q6" s="111">
        <f>Table112345791011[[#This Row],[M (KN.mm)]]/(Table112345791011[[#This Row],[b (mm)]]*Table112345791011[[#This Row],[h (mm)]]*Table112345791011[[#This Row],[L(mm)]]*Table112345791011[[#This Row],[fc (Mpa)]])</f>
        <v>1.7421602787456446E-5</v>
      </c>
      <c r="R6" s="111">
        <f>Table112345791011[[#This Row],[M (KN.mm)]]/(Table112345791011[[#This Row],[b (mm)]]*Table112345791011[[#This Row],[h (mm)]]*Table112345791011[[#This Row],[L(mm)]]/2)</f>
        <v>1.7142857142857144E-3</v>
      </c>
      <c r="S6" s="111">
        <f>Table112345791011[[#This Row],[M (KN.mm)]]/(Table112345791011[[#This Row],[a (mm)]]*Table112345791011[[#This Row],[b (mm)]]*Table112345791011[[#This Row],[h (mm)]]*Table112345791011[[#This Row],[L(mm)]]/2)</f>
        <v>1.1419892310415512E-6</v>
      </c>
      <c r="T6" s="304">
        <f>G6/($AL$5*AH6*0.001*Table112345791011[[#This Row],[pho (%)]])</f>
        <v>6.0965933285025723E-6</v>
      </c>
      <c r="U6" s="111">
        <f>Table112345791011[[#This Row],[M (KN.mm)]]/(Table112345791011[[#This Row],[b (mm)]]*Table112345791011[[#This Row],[d (mm)]]*Table112345791011[[#This Row],[pho (%)]])</f>
        <v>1.9122802547770699</v>
      </c>
      <c r="V6" s="111">
        <f>E6*224.8/(2*SQRT(Table112345791011[[#This Row],[fc (Mpa)]]*145.037)*Table112345791011[[#This Row],[b (mm)]]*Table112345791011[[#This Row],[d (mm)]]*(1/25.4)^2)</f>
        <v>1.7168872865648317</v>
      </c>
      <c r="W6" s="304">
        <f>Table112345791011[[#This Row],[M (KN.mm)]]/$G$8</f>
        <v>0.75757575757575757</v>
      </c>
      <c r="X6" s="111">
        <f t="shared" si="4"/>
        <v>1.7168872865648317</v>
      </c>
      <c r="Y6" s="111">
        <f t="shared" si="5"/>
        <v>1501.1399999999999</v>
      </c>
      <c r="Z6" s="111">
        <v>300</v>
      </c>
      <c r="AA6" s="111">
        <v>350</v>
      </c>
      <c r="AB6" s="111">
        <v>200</v>
      </c>
      <c r="AC6" s="7">
        <v>49.2</v>
      </c>
      <c r="AD6" s="111">
        <f>Table112345791011[[#This Row],[pho (%)]]*Table112345791011[[#This Row],[b (mm)]]*Table112345791011[[#This Row],[h (mm)]]/100</f>
        <v>1099</v>
      </c>
      <c r="AE6" s="111">
        <v>1.57</v>
      </c>
      <c r="AF6" s="111">
        <v>525</v>
      </c>
      <c r="AG6" s="111">
        <f>(1/3-0.21*(MIN(Table112345791011[[#This Row],[b (mm)]],AA6)/MAX(Table112345791011[[#This Row],[b (mm)]],AA6))*(MIN(Table112345791011[[#This Row],[b (mm)]],AA6)^4/(12*MAX(Table112345791011[[#This Row],[b (mm)]],AA6)^4)))*MAX(Table112345791011[[#This Row],[b (mm)]],AA6)*MIN(Table112345791011[[#This Row],[b (mm)]],AA6)^3</f>
        <v>930347910.59280849</v>
      </c>
      <c r="AH6" s="111">
        <f>Table112345791011[[#This Row],[b (mm)]]*AA6^3/12</f>
        <v>714583333.33333337</v>
      </c>
      <c r="AI6" s="307">
        <f>Table112345791011[[#This Row],[a (mm)]]*2</f>
        <v>3002.2799999999997</v>
      </c>
      <c r="AK6" s="126" t="s">
        <v>16</v>
      </c>
      <c r="AL6" s="107">
        <f>AL5/(2*(1+0.15))</f>
        <v>11450.774071786596</v>
      </c>
    </row>
    <row r="7" spans="1:44" ht="15.75" thickBot="1" x14ac:dyDescent="0.3">
      <c r="A7" s="306" t="s">
        <v>212</v>
      </c>
      <c r="B7" s="185">
        <v>6</v>
      </c>
      <c r="C7" s="185">
        <v>6</v>
      </c>
      <c r="D7" s="185">
        <f>Table112345791011[[#This Row],[a (mm)]]/Table112345791011[[#This Row],[d (mm)]]</f>
        <v>5.0037999999999991</v>
      </c>
      <c r="E7" s="185">
        <v>140</v>
      </c>
      <c r="F7" s="303">
        <f>Table112345791011[[#This Row],[d (mm)]]</f>
        <v>300</v>
      </c>
      <c r="G7" s="111">
        <f t="shared" si="3"/>
        <v>210159.59999999998</v>
      </c>
      <c r="H7" s="111">
        <f t="shared" si="0"/>
        <v>1.1166926780040545E-5</v>
      </c>
      <c r="I7" s="111">
        <f>G7/(Table112345791011[[#This Row],[b (mm)]]*Z7^2)</f>
        <v>1.1675533333333332E-2</v>
      </c>
      <c r="J7" s="111">
        <f t="shared" si="1"/>
        <v>1.2141461935092508</v>
      </c>
      <c r="K7" s="111">
        <f t="shared" si="2"/>
        <v>4.7923993544239536E-6</v>
      </c>
      <c r="L7" s="111">
        <f>E7/(Table112345791011[[#This Row],[b (mm)]]*Z7)</f>
        <v>2.3333333333333335E-3</v>
      </c>
      <c r="M7" s="111">
        <f>Table112345791011[[#This Row],[M (KN.mm)]]/(Table112345791011[[#This Row],[b (mm)]]*Table112345791011[[#This Row],[d (mm)]])</f>
        <v>3.5026599999999997</v>
      </c>
      <c r="N7" s="111">
        <f>Table112345791011[[#This Row],[M (KN.mm)]]/(Table112345791011[[#This Row],[b (mm)]]*Table112345791011[[#This Row],[h (mm)]])</f>
        <v>3.0022799999999998</v>
      </c>
      <c r="O7" s="111">
        <f>Table112345791011[[#This Row],[M (KN.mm)]]/(Table112345791011[[#This Row],[b (mm)]]*Table112345791011[[#This Row],[h (mm)]]*Table112345791011[[#This Row],[L(mm)]])</f>
        <v>1E-3</v>
      </c>
      <c r="P7" s="111">
        <f>Table112345791011[[#This Row],[M (KN.mm)]]/(Table112345791011[[#This Row],[b (mm)]]*Table112345791011[[#This Row],[d (mm)]]*Table112345791011[[#This Row],[L(mm)]])</f>
        <v>1.1666666666666668E-3</v>
      </c>
      <c r="Q7" s="111">
        <f>Table112345791011[[#This Row],[M (KN.mm)]]/(Table112345791011[[#This Row],[b (mm)]]*Table112345791011[[#This Row],[h (mm)]]*Table112345791011[[#This Row],[L(mm)]]*Table112345791011[[#This Row],[fc (Mpa)]])</f>
        <v>2.0325203252032517E-5</v>
      </c>
      <c r="R7" s="111">
        <f>Table112345791011[[#This Row],[M (KN.mm)]]/(Table112345791011[[#This Row],[b (mm)]]*Table112345791011[[#This Row],[h (mm)]]*Table112345791011[[#This Row],[L(mm)]]/2)</f>
        <v>2E-3</v>
      </c>
      <c r="S7" s="111">
        <f>Table112345791011[[#This Row],[M (KN.mm)]]/(Table112345791011[[#This Row],[a (mm)]]*Table112345791011[[#This Row],[b (mm)]]*Table112345791011[[#This Row],[h (mm)]]*Table112345791011[[#This Row],[L(mm)]]/2)</f>
        <v>1.3323207695484763E-6</v>
      </c>
      <c r="T7" s="304">
        <f>G7/($AL$5*AH7*0.001*Table112345791011[[#This Row],[pho (%)]])</f>
        <v>7.1126922165863342E-6</v>
      </c>
      <c r="U7" s="111">
        <f>Table112345791011[[#This Row],[M (KN.mm)]]/(Table112345791011[[#This Row],[b (mm)]]*Table112345791011[[#This Row],[d (mm)]]*Table112345791011[[#This Row],[pho (%)]])</f>
        <v>2.2309936305732481</v>
      </c>
      <c r="V7" s="111">
        <f>E7*224.8/(2*SQRT(Table112345791011[[#This Row],[fc (Mpa)]]*145.037)*Table112345791011[[#This Row],[b (mm)]]*Table112345791011[[#This Row],[d (mm)]]*(1/25.4)^2)</f>
        <v>2.0030351676589704</v>
      </c>
      <c r="W7" s="304">
        <f>Table112345791011[[#This Row],[M (KN.mm)]]/$G$8</f>
        <v>0.88383838383838376</v>
      </c>
      <c r="X7" s="111">
        <f t="shared" si="4"/>
        <v>2.0030351676589704</v>
      </c>
      <c r="Y7" s="111">
        <f t="shared" si="5"/>
        <v>1501.1399999999999</v>
      </c>
      <c r="Z7" s="111">
        <v>300</v>
      </c>
      <c r="AA7" s="111">
        <v>350</v>
      </c>
      <c r="AB7" s="111">
        <v>200</v>
      </c>
      <c r="AC7" s="7">
        <v>49.2</v>
      </c>
      <c r="AD7" s="111">
        <f>Table112345791011[[#This Row],[pho (%)]]*Table112345791011[[#This Row],[b (mm)]]*Table112345791011[[#This Row],[h (mm)]]/100</f>
        <v>1099</v>
      </c>
      <c r="AE7" s="111">
        <v>1.57</v>
      </c>
      <c r="AF7" s="111">
        <v>525</v>
      </c>
      <c r="AG7" s="111">
        <f>(1/3-0.21*(MIN(Table112345791011[[#This Row],[b (mm)]],AA7)/MAX(Table112345791011[[#This Row],[b (mm)]],AA7))*(MIN(Table112345791011[[#This Row],[b (mm)]],AA7)^4/(12*MAX(Table112345791011[[#This Row],[b (mm)]],AA7)^4)))*MAX(Table112345791011[[#This Row],[b (mm)]],AA7)*MIN(Table112345791011[[#This Row],[b (mm)]],AA7)^3</f>
        <v>930347910.59280849</v>
      </c>
      <c r="AH7" s="111">
        <f>Table112345791011[[#This Row],[b (mm)]]*AA7^3/12</f>
        <v>714583333.33333337</v>
      </c>
      <c r="AI7" s="307">
        <f>Table112345791011[[#This Row],[a (mm)]]*2</f>
        <v>3002.2799999999997</v>
      </c>
      <c r="AK7" s="107"/>
    </row>
    <row r="8" spans="1:44" ht="15.75" thickBot="1" x14ac:dyDescent="0.3">
      <c r="A8" s="306" t="s">
        <v>212</v>
      </c>
      <c r="B8" s="185">
        <v>7</v>
      </c>
      <c r="C8" s="185">
        <v>7</v>
      </c>
      <c r="D8" s="185">
        <f>Table112345791011[[#This Row],[a (mm)]]/Table112345791011[[#This Row],[d (mm)]]</f>
        <v>5.0037999999999991</v>
      </c>
      <c r="E8" s="185">
        <v>158.4</v>
      </c>
      <c r="F8" s="303">
        <f>Table112345791011[[#This Row],[d (mm)]]</f>
        <v>300</v>
      </c>
      <c r="G8" s="111">
        <f t="shared" si="3"/>
        <v>237780.576</v>
      </c>
      <c r="H8" s="111">
        <f t="shared" si="0"/>
        <v>1.2634580013988733E-5</v>
      </c>
      <c r="I8" s="111">
        <f>G8/(Table112345791011[[#This Row],[b (mm)]]*Z8^2)</f>
        <v>1.3210032E-2</v>
      </c>
      <c r="J8" s="111">
        <f t="shared" si="1"/>
        <v>1.3737196932276095</v>
      </c>
      <c r="K8" s="111">
        <f t="shared" si="2"/>
        <v>5.4222575552911024E-6</v>
      </c>
      <c r="L8" s="111">
        <f>E8/(Table112345791011[[#This Row],[b (mm)]]*Z8)</f>
        <v>2.64E-3</v>
      </c>
      <c r="M8" s="111">
        <f>Table112345791011[[#This Row],[M (KN.mm)]]/(Table112345791011[[#This Row],[b (mm)]]*Table112345791011[[#This Row],[d (mm)]])</f>
        <v>3.9630095999999999</v>
      </c>
      <c r="N8" s="111">
        <f>Table112345791011[[#This Row],[M (KN.mm)]]/(Table112345791011[[#This Row],[b (mm)]]*Table112345791011[[#This Row],[h (mm)]])</f>
        <v>3.3968653714285715</v>
      </c>
      <c r="O8" s="111">
        <f>Table112345791011[[#This Row],[M (KN.mm)]]/(Table112345791011[[#This Row],[b (mm)]]*Table112345791011[[#This Row],[h (mm)]]*Table112345791011[[#This Row],[L(mm)]])</f>
        <v>1.1314285714285716E-3</v>
      </c>
      <c r="P8" s="111">
        <f>Table112345791011[[#This Row],[M (KN.mm)]]/(Table112345791011[[#This Row],[b (mm)]]*Table112345791011[[#This Row],[d (mm)]]*Table112345791011[[#This Row],[L(mm)]])</f>
        <v>1.3200000000000002E-3</v>
      </c>
      <c r="Q8" s="111">
        <f>Table112345791011[[#This Row],[M (KN.mm)]]/(Table112345791011[[#This Row],[b (mm)]]*Table112345791011[[#This Row],[h (mm)]]*Table112345791011[[#This Row],[L(mm)]]*Table112345791011[[#This Row],[fc (Mpa)]])</f>
        <v>2.2996515679442508E-5</v>
      </c>
      <c r="R8" s="111">
        <f>Table112345791011[[#This Row],[M (KN.mm)]]/(Table112345791011[[#This Row],[b (mm)]]*Table112345791011[[#This Row],[h (mm)]]*Table112345791011[[#This Row],[L(mm)]]/2)</f>
        <v>2.2628571428571433E-3</v>
      </c>
      <c r="S8" s="111">
        <f>Table112345791011[[#This Row],[M (KN.mm)]]/(Table112345791011[[#This Row],[a (mm)]]*Table112345791011[[#This Row],[b (mm)]]*Table112345791011[[#This Row],[h (mm)]]*Table112345791011[[#This Row],[L(mm)]]/2)</f>
        <v>1.5074257849748478E-6</v>
      </c>
      <c r="T8" s="304">
        <f>G8/($AL$5*AH8*0.001*Table112345791011[[#This Row],[pho (%)]])</f>
        <v>8.0475031936233973E-6</v>
      </c>
      <c r="U8" s="111">
        <f>Table112345791011[[#This Row],[M (KN.mm)]]/(Table112345791011[[#This Row],[b (mm)]]*Table112345791011[[#This Row],[d (mm)]]*Table112345791011[[#This Row],[pho (%)]])</f>
        <v>2.5242099363057324</v>
      </c>
      <c r="V8" s="111">
        <f>E8*224.8/(2*SQRT(Table112345791011[[#This Row],[fc (Mpa)]]*145.037)*Table112345791011[[#This Row],[b (mm)]]*Table112345791011[[#This Row],[d (mm)]]*(1/25.4)^2)</f>
        <v>2.2662912182655779</v>
      </c>
      <c r="W8" s="304">
        <f>Table112345791011[[#This Row],[M (KN.mm)]]/$G$8</f>
        <v>1</v>
      </c>
      <c r="X8" s="111">
        <f t="shared" si="4"/>
        <v>2.2662912182655779</v>
      </c>
      <c r="Y8" s="111">
        <f t="shared" si="5"/>
        <v>1501.1399999999999</v>
      </c>
      <c r="Z8" s="111">
        <v>300</v>
      </c>
      <c r="AA8" s="111">
        <v>350</v>
      </c>
      <c r="AB8" s="111">
        <v>200</v>
      </c>
      <c r="AC8" s="7">
        <v>49.2</v>
      </c>
      <c r="AD8" s="111">
        <f>Table112345791011[[#This Row],[pho (%)]]*Table112345791011[[#This Row],[b (mm)]]*Table112345791011[[#This Row],[h (mm)]]/100</f>
        <v>1099</v>
      </c>
      <c r="AE8" s="111">
        <v>1.57</v>
      </c>
      <c r="AF8" s="111">
        <v>525</v>
      </c>
      <c r="AG8" s="111">
        <f>(1/3-0.21*(MIN(Table112345791011[[#This Row],[b (mm)]],AA8)/MAX(Table112345791011[[#This Row],[b (mm)]],AA8))*(MIN(Table112345791011[[#This Row],[b (mm)]],AA8)^4/(12*MAX(Table112345791011[[#This Row],[b (mm)]],AA8)^4)))*MAX(Table112345791011[[#This Row],[b (mm)]],AA8)*MIN(Table112345791011[[#This Row],[b (mm)]],AA8)^3</f>
        <v>930347910.59280849</v>
      </c>
      <c r="AH8" s="111">
        <f>Table112345791011[[#This Row],[b (mm)]]*AA8^3/12</f>
        <v>714583333.33333337</v>
      </c>
      <c r="AI8" s="307">
        <f>Table112345791011[[#This Row],[a (mm)]]*2</f>
        <v>3002.2799999999997</v>
      </c>
      <c r="AK8"/>
      <c r="AL8"/>
      <c r="AM8"/>
    </row>
    <row r="9" spans="1:44" customFormat="1" ht="15.75" thickBot="1" x14ac:dyDescent="0.3">
      <c r="A9" s="308" t="s">
        <v>213</v>
      </c>
      <c r="B9" s="299">
        <v>8</v>
      </c>
      <c r="C9" s="299">
        <v>1</v>
      </c>
      <c r="D9" s="299">
        <f>Table112345791011[[#This Row],[a (mm)]]/Table112345791011[[#This Row],[d (mm)]]</f>
        <v>5.0037999999999991</v>
      </c>
      <c r="E9" s="316">
        <v>10</v>
      </c>
      <c r="F9" s="303">
        <f>Table112345791011[[#This Row],[d (mm)]]</f>
        <v>300</v>
      </c>
      <c r="G9" s="111">
        <f t="shared" ref="G9:G29" si="6">E9*Y9</f>
        <v>15011.399999999998</v>
      </c>
      <c r="H9" s="111">
        <f t="shared" ref="H9:H29" si="7">G9/($AL$5*AH9*0.001)</f>
        <v>7.976376271457532E-7</v>
      </c>
      <c r="I9" s="111">
        <f>G9/(Table112345791011[[#This Row],[b (mm)]]*Z9^2)</f>
        <v>8.3396666666666654E-4</v>
      </c>
      <c r="J9" s="111">
        <f t="shared" ref="J9:J29" si="8">G9/(AD9*AF9*Z9*0.001)</f>
        <v>5.7584308454321977E-2</v>
      </c>
      <c r="K9" s="111">
        <f t="shared" ref="K9:K29" si="9">E9/($AL$4*AG9*0.001)</f>
        <v>3.42314239601711E-7</v>
      </c>
      <c r="L9" s="111">
        <f>E9/(Table112345791011[[#This Row],[b (mm)]]*Z9)</f>
        <v>1.6666666666666666E-4</v>
      </c>
      <c r="M9" s="111">
        <f>Table112345791011[[#This Row],[M (KN.mm)]]/(Table112345791011[[#This Row],[b (mm)]]*Table112345791011[[#This Row],[d (mm)]])</f>
        <v>0.25018999999999997</v>
      </c>
      <c r="N9" s="111">
        <f>Table112345791011[[#This Row],[M (KN.mm)]]/(Table112345791011[[#This Row],[b (mm)]]*Table112345791011[[#This Row],[h (mm)]])</f>
        <v>0.21444857142857141</v>
      </c>
      <c r="O9" s="111">
        <f>Table112345791011[[#This Row],[M (KN.mm)]]/(Table112345791011[[#This Row],[b (mm)]]*Table112345791011[[#This Row],[h (mm)]]*Table112345791011[[#This Row],[L(mm)]])</f>
        <v>7.1428571428571434E-5</v>
      </c>
      <c r="P9" s="111">
        <f>Table112345791011[[#This Row],[M (KN.mm)]]/(Table112345791011[[#This Row],[b (mm)]]*Table112345791011[[#This Row],[d (mm)]]*Table112345791011[[#This Row],[L(mm)]])</f>
        <v>8.3333333333333331E-5</v>
      </c>
      <c r="Q9" s="111">
        <f>Table112345791011[[#This Row],[M (KN.mm)]]/(Table112345791011[[#This Row],[b (mm)]]*Table112345791011[[#This Row],[h (mm)]]*Table112345791011[[#This Row],[L(mm)]]*Table112345791011[[#This Row],[fc (Mpa)]])</f>
        <v>1.4444604940054887E-6</v>
      </c>
      <c r="R9" s="111">
        <f>Table112345791011[[#This Row],[M (KN.mm)]]/(Table112345791011[[#This Row],[b (mm)]]*Table112345791011[[#This Row],[h (mm)]]*Table112345791011[[#This Row],[L(mm)]]/2)</f>
        <v>1.4285714285714287E-4</v>
      </c>
      <c r="S9" s="111">
        <f>Table112345791011[[#This Row],[M (KN.mm)]]/(Table112345791011[[#This Row],[a (mm)]]*Table112345791011[[#This Row],[b (mm)]]*Table112345791011[[#This Row],[h (mm)]]*Table112345791011[[#This Row],[L(mm)]]/2)</f>
        <v>9.5165769253462595E-8</v>
      </c>
      <c r="T9" s="304">
        <f>G9/($AL$5*AH9*0.001*Table112345791011[[#This Row],[pho (%)]])</f>
        <v>3.379820454007429E-7</v>
      </c>
      <c r="U9" s="111">
        <f>Table112345791011[[#This Row],[M (KN.mm)]]/(Table112345791011[[#This Row],[b (mm)]]*Table112345791011[[#This Row],[d (mm)]]*Table112345791011[[#This Row],[pho (%)]])</f>
        <v>0.10601271186440676</v>
      </c>
      <c r="V9" s="111">
        <f>E9*224.8/(2*SQRT(Table112345791011[[#This Row],[fc (Mpa)]]*145.037)*Table112345791011[[#This Row],[b (mm)]]*Table112345791011[[#This Row],[d (mm)]]*(1/25.4)^2)</f>
        <v>0.14271181913484321</v>
      </c>
      <c r="W9" s="111">
        <f>Table112345791011[[#This Row],[M (KN.mm)]]/$G$22</f>
        <v>6.6666666666666666E-2</v>
      </c>
      <c r="X9" s="111">
        <f t="shared" si="4"/>
        <v>0.14271181913484321</v>
      </c>
      <c r="Y9" s="111">
        <f t="shared" si="5"/>
        <v>1501.1399999999999</v>
      </c>
      <c r="Z9" s="111">
        <v>300</v>
      </c>
      <c r="AA9" s="111">
        <v>350</v>
      </c>
      <c r="AB9" s="111">
        <v>200</v>
      </c>
      <c r="AC9" s="109">
        <v>49.45</v>
      </c>
      <c r="AD9" s="111">
        <f>Table112345791011[[#This Row],[pho (%)]]*Table112345791011[[#This Row],[b (mm)]]*Table112345791011[[#This Row],[h (mm)]]/100</f>
        <v>1652</v>
      </c>
      <c r="AE9" s="109">
        <v>2.36</v>
      </c>
      <c r="AF9" s="111">
        <v>526</v>
      </c>
      <c r="AG9" s="111">
        <f>(1/3-0.21*(MIN(Table112345791011[[#This Row],[b (mm)]],AA9)/MAX(Table112345791011[[#This Row],[b (mm)]],AA9))*(MIN(Table112345791011[[#This Row],[b (mm)]],AA9)^4/(12*MAX(Table112345791011[[#This Row],[b (mm)]],AA9)^4)))*MAX(Table112345791011[[#This Row],[b (mm)]],AA9)*MIN(Table112345791011[[#This Row],[b (mm)]],AA9)^3</f>
        <v>930347910.59280849</v>
      </c>
      <c r="AH9" s="111">
        <f>Table112345791011[[#This Row],[b (mm)]]*AA9^3/12</f>
        <v>714583333.33333337</v>
      </c>
      <c r="AI9" s="307">
        <f>Table112345791011[[#This Row],[a (mm)]]*2</f>
        <v>3002.2799999999997</v>
      </c>
    </row>
    <row r="10" spans="1:44" customFormat="1" ht="12.75" customHeight="1" thickBot="1" x14ac:dyDescent="0.3">
      <c r="A10" s="308" t="s">
        <v>213</v>
      </c>
      <c r="B10" s="299">
        <v>9</v>
      </c>
      <c r="C10" s="299">
        <v>2</v>
      </c>
      <c r="D10" s="299">
        <f>Table112345791011[[#This Row],[a (mm)]]/Table112345791011[[#This Row],[d (mm)]]</f>
        <v>5.0037999999999991</v>
      </c>
      <c r="E10" s="316">
        <v>30</v>
      </c>
      <c r="F10" s="303">
        <f>Table112345791011[[#This Row],[d (mm)]]</f>
        <v>300</v>
      </c>
      <c r="G10" s="111">
        <f t="shared" si="6"/>
        <v>45034.2</v>
      </c>
      <c r="H10" s="111">
        <f t="shared" si="7"/>
        <v>2.39291288143726E-6</v>
      </c>
      <c r="I10" s="111">
        <f>G10/(Table112345791011[[#This Row],[b (mm)]]*Z10^2)</f>
        <v>2.5019E-3</v>
      </c>
      <c r="J10" s="111">
        <f t="shared" si="8"/>
        <v>0.17242512095051249</v>
      </c>
      <c r="K10" s="111">
        <f t="shared" si="9"/>
        <v>1.026942718805133E-6</v>
      </c>
      <c r="L10" s="111">
        <f>E10/(Table112345791011[[#This Row],[b (mm)]]*Z10)</f>
        <v>5.0000000000000001E-4</v>
      </c>
      <c r="M10" s="111">
        <f>Table112345791011[[#This Row],[M (KN.mm)]]/(Table112345791011[[#This Row],[b (mm)]]*Table112345791011[[#This Row],[d (mm)]])</f>
        <v>0.75056999999999996</v>
      </c>
      <c r="N10" s="111">
        <f>Table112345791011[[#This Row],[M (KN.mm)]]/(Table112345791011[[#This Row],[b (mm)]]*Table112345791011[[#This Row],[h (mm)]])</f>
        <v>0.6433457142857143</v>
      </c>
      <c r="O10" s="111">
        <f>Table112345791011[[#This Row],[M (KN.mm)]]/(Table112345791011[[#This Row],[b (mm)]]*Table112345791011[[#This Row],[h (mm)]]*Table112345791011[[#This Row],[L(mm)]])</f>
        <v>2.142857142857143E-4</v>
      </c>
      <c r="P10" s="111">
        <f>Table112345791011[[#This Row],[M (KN.mm)]]/(Table112345791011[[#This Row],[b (mm)]]*Table112345791011[[#This Row],[d (mm)]]*Table112345791011[[#This Row],[L(mm)]])</f>
        <v>2.5000000000000001E-4</v>
      </c>
      <c r="Q10" s="111">
        <f>Table112345791011[[#This Row],[M (KN.mm)]]/(Table112345791011[[#This Row],[b (mm)]]*Table112345791011[[#This Row],[h (mm)]]*Table112345791011[[#This Row],[L(mm)]]*Table112345791011[[#This Row],[fc (Mpa)]])</f>
        <v>4.3333814820164666E-6</v>
      </c>
      <c r="R10" s="111">
        <f>Table112345791011[[#This Row],[M (KN.mm)]]/(Table112345791011[[#This Row],[b (mm)]]*Table112345791011[[#This Row],[h (mm)]]*Table112345791011[[#This Row],[L(mm)]]/2)</f>
        <v>4.285714285714286E-4</v>
      </c>
      <c r="S10" s="111">
        <f>Table112345791011[[#This Row],[M (KN.mm)]]/(Table112345791011[[#This Row],[a (mm)]]*Table112345791011[[#This Row],[b (mm)]]*Table112345791011[[#This Row],[h (mm)]]*Table112345791011[[#This Row],[L(mm)]]/2)</f>
        <v>2.8549730776038781E-7</v>
      </c>
      <c r="T10" s="304">
        <f>G10/($AL$5*AH10*0.001*Table112345791011[[#This Row],[pho (%)]])</f>
        <v>1.0139461362022289E-6</v>
      </c>
      <c r="U10" s="111">
        <f>Table112345791011[[#This Row],[M (KN.mm)]]/(Table112345791011[[#This Row],[b (mm)]]*Table112345791011[[#This Row],[d (mm)]]*Table112345791011[[#This Row],[pho (%)]])</f>
        <v>0.31803813559322031</v>
      </c>
      <c r="V10" s="111">
        <f>E10*224.8/(2*SQRT(Table112345791011[[#This Row],[fc (Mpa)]]*145.037)*Table112345791011[[#This Row],[b (mm)]]*Table112345791011[[#This Row],[d (mm)]]*(1/25.4)^2)</f>
        <v>0.42813545740452957</v>
      </c>
      <c r="W10" s="111">
        <f>Table112345791011[[#This Row],[M (KN.mm)]]/$G$22</f>
        <v>0.2</v>
      </c>
      <c r="X10" s="111">
        <f t="shared" si="4"/>
        <v>0.42813545740452957</v>
      </c>
      <c r="Y10" s="111">
        <f t="shared" si="5"/>
        <v>1501.1399999999999</v>
      </c>
      <c r="Z10" s="111">
        <v>300</v>
      </c>
      <c r="AA10" s="111">
        <v>350</v>
      </c>
      <c r="AB10" s="111">
        <v>200</v>
      </c>
      <c r="AC10" s="109">
        <v>49.45</v>
      </c>
      <c r="AD10" s="111">
        <f>Table112345791011[[#This Row],[pho (%)]]*Table112345791011[[#This Row],[b (mm)]]*Table112345791011[[#This Row],[h (mm)]]/100</f>
        <v>1652</v>
      </c>
      <c r="AE10" s="109">
        <v>2.36</v>
      </c>
      <c r="AF10" s="111">
        <v>527</v>
      </c>
      <c r="AG10" s="111">
        <f>(1/3-0.21*(MIN(Table112345791011[[#This Row],[b (mm)]],AA10)/MAX(Table112345791011[[#This Row],[b (mm)]],AA10))*(MIN(Table112345791011[[#This Row],[b (mm)]],AA10)^4/(12*MAX(Table112345791011[[#This Row],[b (mm)]],AA10)^4)))*MAX(Table112345791011[[#This Row],[b (mm)]],AA10)*MIN(Table112345791011[[#This Row],[b (mm)]],AA10)^3</f>
        <v>930347910.59280849</v>
      </c>
      <c r="AH10" s="111">
        <f>Table112345791011[[#This Row],[b (mm)]]*AA10^3/12</f>
        <v>714583333.33333337</v>
      </c>
      <c r="AI10" s="307">
        <f>Table112345791011[[#This Row],[a (mm)]]*2</f>
        <v>3002.2799999999997</v>
      </c>
    </row>
    <row r="11" spans="1:44" customFormat="1" ht="15.75" thickBot="1" x14ac:dyDescent="0.3">
      <c r="A11" s="308" t="s">
        <v>213</v>
      </c>
      <c r="B11" s="299">
        <v>10</v>
      </c>
      <c r="C11" s="299">
        <v>3</v>
      </c>
      <c r="D11" s="299">
        <f>Table112345791011[[#This Row],[a (mm)]]/Table112345791011[[#This Row],[d (mm)]]</f>
        <v>5.0037999999999991</v>
      </c>
      <c r="E11" s="316">
        <v>40</v>
      </c>
      <c r="F11" s="303">
        <f>Table112345791011[[#This Row],[d (mm)]]</f>
        <v>300</v>
      </c>
      <c r="G11" s="111">
        <f t="shared" si="6"/>
        <v>60045.599999999991</v>
      </c>
      <c r="H11" s="111">
        <f t="shared" si="7"/>
        <v>3.1905505085830128E-6</v>
      </c>
      <c r="I11" s="111">
        <f>G11/(Table112345791011[[#This Row],[b (mm)]]*Z11^2)</f>
        <v>3.3358666666666661E-3</v>
      </c>
      <c r="J11" s="111">
        <f t="shared" si="8"/>
        <v>0.22946474429525271</v>
      </c>
      <c r="K11" s="111">
        <f t="shared" si="9"/>
        <v>1.369256958406844E-6</v>
      </c>
      <c r="L11" s="111">
        <f>E11/(Table112345791011[[#This Row],[b (mm)]]*Z11)</f>
        <v>6.6666666666666664E-4</v>
      </c>
      <c r="M11" s="111">
        <f>Table112345791011[[#This Row],[M (KN.mm)]]/(Table112345791011[[#This Row],[b (mm)]]*Table112345791011[[#This Row],[d (mm)]])</f>
        <v>1.0007599999999999</v>
      </c>
      <c r="N11" s="111">
        <f>Table112345791011[[#This Row],[M (KN.mm)]]/(Table112345791011[[#This Row],[b (mm)]]*Table112345791011[[#This Row],[h (mm)]])</f>
        <v>0.85779428571428562</v>
      </c>
      <c r="O11" s="111">
        <f>Table112345791011[[#This Row],[M (KN.mm)]]/(Table112345791011[[#This Row],[b (mm)]]*Table112345791011[[#This Row],[h (mm)]]*Table112345791011[[#This Row],[L(mm)]])</f>
        <v>2.8571428571428574E-4</v>
      </c>
      <c r="P11" s="111">
        <f>Table112345791011[[#This Row],[M (KN.mm)]]/(Table112345791011[[#This Row],[b (mm)]]*Table112345791011[[#This Row],[d (mm)]]*Table112345791011[[#This Row],[L(mm)]])</f>
        <v>3.3333333333333332E-4</v>
      </c>
      <c r="Q11" s="111">
        <f>Table112345791011[[#This Row],[M (KN.mm)]]/(Table112345791011[[#This Row],[b (mm)]]*Table112345791011[[#This Row],[h (mm)]]*Table112345791011[[#This Row],[L(mm)]]*Table112345791011[[#This Row],[fc (Mpa)]])</f>
        <v>5.7778419760219549E-6</v>
      </c>
      <c r="R11" s="111">
        <f>Table112345791011[[#This Row],[M (KN.mm)]]/(Table112345791011[[#This Row],[b (mm)]]*Table112345791011[[#This Row],[h (mm)]]*Table112345791011[[#This Row],[L(mm)]]/2)</f>
        <v>5.7142857142857147E-4</v>
      </c>
      <c r="S11" s="111">
        <f>Table112345791011[[#This Row],[M (KN.mm)]]/(Table112345791011[[#This Row],[a (mm)]]*Table112345791011[[#This Row],[b (mm)]]*Table112345791011[[#This Row],[h (mm)]]*Table112345791011[[#This Row],[L(mm)]]/2)</f>
        <v>3.8066307701385038E-7</v>
      </c>
      <c r="T11" s="304">
        <f>G11/($AL$5*AH11*0.001*Table112345791011[[#This Row],[pho (%)]])</f>
        <v>1.3519281816029716E-6</v>
      </c>
      <c r="U11" s="111">
        <f>Table112345791011[[#This Row],[M (KN.mm)]]/(Table112345791011[[#This Row],[b (mm)]]*Table112345791011[[#This Row],[d (mm)]]*Table112345791011[[#This Row],[pho (%)]])</f>
        <v>0.42405084745762706</v>
      </c>
      <c r="V11" s="111">
        <f>E11*224.8/(2*SQRT(Table112345791011[[#This Row],[fc (Mpa)]]*145.037)*Table112345791011[[#This Row],[b (mm)]]*Table112345791011[[#This Row],[d (mm)]]*(1/25.4)^2)</f>
        <v>0.57084727653937284</v>
      </c>
      <c r="W11" s="111">
        <f>Table112345791011[[#This Row],[M (KN.mm)]]/$G$22</f>
        <v>0.26666666666666666</v>
      </c>
      <c r="X11" s="111">
        <f t="shared" si="4"/>
        <v>0.57084727653937284</v>
      </c>
      <c r="Y11" s="111">
        <f t="shared" si="5"/>
        <v>1501.1399999999999</v>
      </c>
      <c r="Z11" s="111">
        <v>300</v>
      </c>
      <c r="AA11" s="111">
        <v>350</v>
      </c>
      <c r="AB11" s="111">
        <v>200</v>
      </c>
      <c r="AC11" s="109">
        <v>49.45</v>
      </c>
      <c r="AD11" s="111">
        <f>Table112345791011[[#This Row],[pho (%)]]*Table112345791011[[#This Row],[b (mm)]]*Table112345791011[[#This Row],[h (mm)]]/100</f>
        <v>1652</v>
      </c>
      <c r="AE11" s="109">
        <v>2.36</v>
      </c>
      <c r="AF11" s="111">
        <v>528</v>
      </c>
      <c r="AG11" s="111">
        <f>(1/3-0.21*(MIN(Table112345791011[[#This Row],[b (mm)]],AA11)/MAX(Table112345791011[[#This Row],[b (mm)]],AA11))*(MIN(Table112345791011[[#This Row],[b (mm)]],AA11)^4/(12*MAX(Table112345791011[[#This Row],[b (mm)]],AA11)^4)))*MAX(Table112345791011[[#This Row],[b (mm)]],AA11)*MIN(Table112345791011[[#This Row],[b (mm)]],AA11)^3</f>
        <v>930347910.59280849</v>
      </c>
      <c r="AH11" s="111">
        <f>Table112345791011[[#This Row],[b (mm)]]*AA11^3/12</f>
        <v>714583333.33333337</v>
      </c>
      <c r="AI11" s="307">
        <f>Table112345791011[[#This Row],[a (mm)]]*2</f>
        <v>3002.2799999999997</v>
      </c>
    </row>
    <row r="12" spans="1:44" ht="17.25" customHeight="1" thickBot="1" x14ac:dyDescent="0.3">
      <c r="A12" s="308" t="s">
        <v>213</v>
      </c>
      <c r="B12" s="299">
        <v>11</v>
      </c>
      <c r="C12" s="299">
        <v>4</v>
      </c>
      <c r="D12" s="299">
        <f>Table112345791011[[#This Row],[a (mm)]]/Table112345791011[[#This Row],[d (mm)]]</f>
        <v>5.0037999999999991</v>
      </c>
      <c r="E12" s="316">
        <v>50</v>
      </c>
      <c r="F12" s="303">
        <f>Table112345791011[[#This Row],[d (mm)]]</f>
        <v>300</v>
      </c>
      <c r="G12" s="111">
        <f t="shared" si="6"/>
        <v>75057</v>
      </c>
      <c r="H12" s="111">
        <f t="shared" si="7"/>
        <v>3.9881881357287669E-6</v>
      </c>
      <c r="I12" s="111">
        <f>G12/(Table112345791011[[#This Row],[b (mm)]]*Z12^2)</f>
        <v>4.1698333333333336E-3</v>
      </c>
      <c r="J12" s="111">
        <f t="shared" si="8"/>
        <v>0.28628871689010738</v>
      </c>
      <c r="K12" s="111">
        <f t="shared" si="9"/>
        <v>1.711571198008555E-6</v>
      </c>
      <c r="L12" s="111">
        <f>E12/(Table112345791011[[#This Row],[b (mm)]]*Z12)</f>
        <v>8.3333333333333339E-4</v>
      </c>
      <c r="M12" s="111">
        <f>Table112345791011[[#This Row],[M (KN.mm)]]/(Table112345791011[[#This Row],[b (mm)]]*Table112345791011[[#This Row],[d (mm)]])</f>
        <v>1.25095</v>
      </c>
      <c r="N12" s="111">
        <f>Table112345791011[[#This Row],[M (KN.mm)]]/(Table112345791011[[#This Row],[b (mm)]]*Table112345791011[[#This Row],[h (mm)]])</f>
        <v>1.0722428571428571</v>
      </c>
      <c r="O12" s="111">
        <f>Table112345791011[[#This Row],[M (KN.mm)]]/(Table112345791011[[#This Row],[b (mm)]]*Table112345791011[[#This Row],[h (mm)]]*Table112345791011[[#This Row],[L(mm)]])</f>
        <v>3.571428571428572E-4</v>
      </c>
      <c r="P12" s="111">
        <f>Table112345791011[[#This Row],[M (KN.mm)]]/(Table112345791011[[#This Row],[b (mm)]]*Table112345791011[[#This Row],[d (mm)]]*Table112345791011[[#This Row],[L(mm)]])</f>
        <v>4.1666666666666675E-4</v>
      </c>
      <c r="Q12" s="111">
        <f>Table112345791011[[#This Row],[M (KN.mm)]]/(Table112345791011[[#This Row],[b (mm)]]*Table112345791011[[#This Row],[h (mm)]]*Table112345791011[[#This Row],[L(mm)]]*Table112345791011[[#This Row],[fc (Mpa)]])</f>
        <v>7.2223024700274449E-6</v>
      </c>
      <c r="R12" s="111">
        <f>Table112345791011[[#This Row],[M (KN.mm)]]/(Table112345791011[[#This Row],[b (mm)]]*Table112345791011[[#This Row],[h (mm)]]*Table112345791011[[#This Row],[L(mm)]]/2)</f>
        <v>7.1428571428571439E-4</v>
      </c>
      <c r="S12" s="111">
        <f>Table112345791011[[#This Row],[M (KN.mm)]]/(Table112345791011[[#This Row],[a (mm)]]*Table112345791011[[#This Row],[b (mm)]]*Table112345791011[[#This Row],[h (mm)]]*Table112345791011[[#This Row],[L(mm)]]/2)</f>
        <v>4.7582884626731305E-7</v>
      </c>
      <c r="T12" s="304">
        <f>G12/($AL$5*AH12*0.001*Table112345791011[[#This Row],[pho (%)]])</f>
        <v>1.6899102270037149E-6</v>
      </c>
      <c r="U12" s="111">
        <f>Table112345791011[[#This Row],[M (KN.mm)]]/(Table112345791011[[#This Row],[b (mm)]]*Table112345791011[[#This Row],[d (mm)]]*Table112345791011[[#This Row],[pho (%)]])</f>
        <v>0.53006355932203386</v>
      </c>
      <c r="V12" s="111">
        <f>E12*224.8/(2*SQRT(Table112345791011[[#This Row],[fc (Mpa)]]*145.037)*Table112345791011[[#This Row],[b (mm)]]*Table112345791011[[#This Row],[d (mm)]]*(1/25.4)^2)</f>
        <v>0.71355909567421605</v>
      </c>
      <c r="W12" s="111">
        <f>Table112345791011[[#This Row],[M (KN.mm)]]/$G$22</f>
        <v>0.33333333333333337</v>
      </c>
      <c r="X12" s="111">
        <f t="shared" si="4"/>
        <v>0.71355909567421605</v>
      </c>
      <c r="Y12" s="111">
        <f t="shared" si="5"/>
        <v>1501.1399999999999</v>
      </c>
      <c r="Z12" s="111">
        <v>300</v>
      </c>
      <c r="AA12" s="111">
        <v>350</v>
      </c>
      <c r="AB12" s="111">
        <v>200</v>
      </c>
      <c r="AC12" s="109">
        <v>49.45</v>
      </c>
      <c r="AD12" s="111">
        <f>Table112345791011[[#This Row],[pho (%)]]*Table112345791011[[#This Row],[b (mm)]]*Table112345791011[[#This Row],[h (mm)]]/100</f>
        <v>1652</v>
      </c>
      <c r="AE12" s="109">
        <v>2.36</v>
      </c>
      <c r="AF12" s="111">
        <v>529</v>
      </c>
      <c r="AG12" s="111">
        <f>(1/3-0.21*(MIN(Table112345791011[[#This Row],[b (mm)]],AA12)/MAX(Table112345791011[[#This Row],[b (mm)]],AA12))*(MIN(Table112345791011[[#This Row],[b (mm)]],AA12)^4/(12*MAX(Table112345791011[[#This Row],[b (mm)]],AA12)^4)))*MAX(Table112345791011[[#This Row],[b (mm)]],AA12)*MIN(Table112345791011[[#This Row],[b (mm)]],AA12)^3</f>
        <v>930347910.59280849</v>
      </c>
      <c r="AH12" s="111">
        <f>Table112345791011[[#This Row],[b (mm)]]*AA12^3/12</f>
        <v>714583333.33333337</v>
      </c>
      <c r="AI12" s="307">
        <f>Table112345791011[[#This Row],[a (mm)]]*2</f>
        <v>3002.2799999999997</v>
      </c>
      <c r="AK12"/>
      <c r="AL12"/>
      <c r="AM12"/>
      <c r="AN12"/>
      <c r="AO12"/>
      <c r="AP12"/>
      <c r="AQ12"/>
      <c r="AR12"/>
    </row>
    <row r="13" spans="1:44" ht="15.75" thickBot="1" x14ac:dyDescent="0.3">
      <c r="A13" s="308" t="s">
        <v>213</v>
      </c>
      <c r="B13" s="299">
        <v>12</v>
      </c>
      <c r="C13" s="299">
        <v>5</v>
      </c>
      <c r="D13" s="299">
        <f>Table112345791011[[#This Row],[a (mm)]]/Table112345791011[[#This Row],[d (mm)]]</f>
        <v>5.0037999999999991</v>
      </c>
      <c r="E13" s="316">
        <v>60</v>
      </c>
      <c r="F13" s="303">
        <f>Table112345791011[[#This Row],[d (mm)]]</f>
        <v>300</v>
      </c>
      <c r="G13" s="111">
        <f t="shared" si="6"/>
        <v>90068.4</v>
      </c>
      <c r="H13" s="111">
        <f t="shared" si="7"/>
        <v>4.7858257628745201E-6</v>
      </c>
      <c r="I13" s="111">
        <f>G13/(Table112345791011[[#This Row],[b (mm)]]*Z13^2)</f>
        <v>5.0038000000000001E-3</v>
      </c>
      <c r="J13" s="111">
        <f t="shared" si="8"/>
        <v>0.34289825939969848</v>
      </c>
      <c r="K13" s="111">
        <f t="shared" si="9"/>
        <v>2.053885437610266E-6</v>
      </c>
      <c r="L13" s="111">
        <f>E13/(Table112345791011[[#This Row],[b (mm)]]*Z13)</f>
        <v>1E-3</v>
      </c>
      <c r="M13" s="111">
        <f>Table112345791011[[#This Row],[M (KN.mm)]]/(Table112345791011[[#This Row],[b (mm)]]*Table112345791011[[#This Row],[d (mm)]])</f>
        <v>1.5011399999999999</v>
      </c>
      <c r="N13" s="111">
        <f>Table112345791011[[#This Row],[M (KN.mm)]]/(Table112345791011[[#This Row],[b (mm)]]*Table112345791011[[#This Row],[h (mm)]])</f>
        <v>1.2866914285714286</v>
      </c>
      <c r="O13" s="111">
        <f>Table112345791011[[#This Row],[M (KN.mm)]]/(Table112345791011[[#This Row],[b (mm)]]*Table112345791011[[#This Row],[h (mm)]]*Table112345791011[[#This Row],[L(mm)]])</f>
        <v>4.285714285714286E-4</v>
      </c>
      <c r="P13" s="111">
        <f>Table112345791011[[#This Row],[M (KN.mm)]]/(Table112345791011[[#This Row],[b (mm)]]*Table112345791011[[#This Row],[d (mm)]]*Table112345791011[[#This Row],[L(mm)]])</f>
        <v>5.0000000000000001E-4</v>
      </c>
      <c r="Q13" s="111">
        <f>Table112345791011[[#This Row],[M (KN.mm)]]/(Table112345791011[[#This Row],[b (mm)]]*Table112345791011[[#This Row],[h (mm)]]*Table112345791011[[#This Row],[L(mm)]]*Table112345791011[[#This Row],[fc (Mpa)]])</f>
        <v>8.6667629640329332E-6</v>
      </c>
      <c r="R13" s="111">
        <f>Table112345791011[[#This Row],[M (KN.mm)]]/(Table112345791011[[#This Row],[b (mm)]]*Table112345791011[[#This Row],[h (mm)]]*Table112345791011[[#This Row],[L(mm)]]/2)</f>
        <v>8.5714285714285721E-4</v>
      </c>
      <c r="S13" s="111">
        <f>Table112345791011[[#This Row],[M (KN.mm)]]/(Table112345791011[[#This Row],[a (mm)]]*Table112345791011[[#This Row],[b (mm)]]*Table112345791011[[#This Row],[h (mm)]]*Table112345791011[[#This Row],[L(mm)]]/2)</f>
        <v>5.7099461552077562E-7</v>
      </c>
      <c r="T13" s="304">
        <f>G13/($AL$5*AH13*0.001*Table112345791011[[#This Row],[pho (%)]])</f>
        <v>2.0278922724044578E-6</v>
      </c>
      <c r="U13" s="111">
        <f>Table112345791011[[#This Row],[M (KN.mm)]]/(Table112345791011[[#This Row],[b (mm)]]*Table112345791011[[#This Row],[d (mm)]]*Table112345791011[[#This Row],[pho (%)]])</f>
        <v>0.63607627118644061</v>
      </c>
      <c r="V13" s="111">
        <f>E13*224.8/(2*SQRT(Table112345791011[[#This Row],[fc (Mpa)]]*145.037)*Table112345791011[[#This Row],[b (mm)]]*Table112345791011[[#This Row],[d (mm)]]*(1/25.4)^2)</f>
        <v>0.85627091480905915</v>
      </c>
      <c r="W13" s="111">
        <f>Table112345791011[[#This Row],[M (KN.mm)]]/$G$22</f>
        <v>0.4</v>
      </c>
      <c r="X13" s="111">
        <f t="shared" si="4"/>
        <v>0.85627091480905915</v>
      </c>
      <c r="Y13" s="111">
        <f t="shared" si="5"/>
        <v>1501.1399999999999</v>
      </c>
      <c r="Z13" s="111">
        <v>300</v>
      </c>
      <c r="AA13" s="111">
        <v>350</v>
      </c>
      <c r="AB13" s="111">
        <v>200</v>
      </c>
      <c r="AC13" s="109">
        <v>49.45</v>
      </c>
      <c r="AD13" s="111">
        <f>Table112345791011[[#This Row],[pho (%)]]*Table112345791011[[#This Row],[b (mm)]]*Table112345791011[[#This Row],[h (mm)]]/100</f>
        <v>1652</v>
      </c>
      <c r="AE13" s="109">
        <v>2.36</v>
      </c>
      <c r="AF13" s="111">
        <v>530</v>
      </c>
      <c r="AG13" s="111">
        <f>(1/3-0.21*(MIN(Table112345791011[[#This Row],[b (mm)]],AA13)/MAX(Table112345791011[[#This Row],[b (mm)]],AA13))*(MIN(Table112345791011[[#This Row],[b (mm)]],AA13)^4/(12*MAX(Table112345791011[[#This Row],[b (mm)]],AA13)^4)))*MAX(Table112345791011[[#This Row],[b (mm)]],AA13)*MIN(Table112345791011[[#This Row],[b (mm)]],AA13)^3</f>
        <v>930347910.59280849</v>
      </c>
      <c r="AH13" s="111">
        <f>Table112345791011[[#This Row],[b (mm)]]*AA13^3/12</f>
        <v>714583333.33333337</v>
      </c>
      <c r="AI13" s="307">
        <f>Table112345791011[[#This Row],[a (mm)]]*2</f>
        <v>3002.2799999999997</v>
      </c>
      <c r="AK13"/>
      <c r="AL13"/>
      <c r="AM13"/>
      <c r="AN13"/>
      <c r="AO13"/>
      <c r="AP13"/>
      <c r="AQ13"/>
      <c r="AR13"/>
    </row>
    <row r="14" spans="1:44" ht="15.75" thickBot="1" x14ac:dyDescent="0.3">
      <c r="A14" s="308" t="s">
        <v>213</v>
      </c>
      <c r="B14" s="299">
        <v>13</v>
      </c>
      <c r="C14" s="299">
        <v>6</v>
      </c>
      <c r="D14" s="299">
        <f>Table112345791011[[#This Row],[a (mm)]]/Table112345791011[[#This Row],[d (mm)]]</f>
        <v>5.0037999999999991</v>
      </c>
      <c r="E14" s="316">
        <v>70</v>
      </c>
      <c r="F14" s="303">
        <f>Table112345791011[[#This Row],[d (mm)]]</f>
        <v>300</v>
      </c>
      <c r="G14" s="111">
        <f t="shared" si="6"/>
        <v>105079.79999999999</v>
      </c>
      <c r="H14" s="111">
        <f t="shared" si="7"/>
        <v>5.5834633900202724E-6</v>
      </c>
      <c r="I14" s="111">
        <f>G14/(Table112345791011[[#This Row],[b (mm)]]*Z14^2)</f>
        <v>5.8377666666666658E-3</v>
      </c>
      <c r="J14" s="111">
        <f t="shared" si="8"/>
        <v>0.3992945832934342</v>
      </c>
      <c r="K14" s="111">
        <f t="shared" si="9"/>
        <v>2.3961996772119768E-6</v>
      </c>
      <c r="L14" s="111">
        <f>E14/(Table112345791011[[#This Row],[b (mm)]]*Z14)</f>
        <v>1.1666666666666668E-3</v>
      </c>
      <c r="M14" s="111">
        <f>Table112345791011[[#This Row],[M (KN.mm)]]/(Table112345791011[[#This Row],[b (mm)]]*Table112345791011[[#This Row],[d (mm)]])</f>
        <v>1.7513299999999998</v>
      </c>
      <c r="N14" s="111">
        <f>Table112345791011[[#This Row],[M (KN.mm)]]/(Table112345791011[[#This Row],[b (mm)]]*Table112345791011[[#This Row],[h (mm)]])</f>
        <v>1.5011399999999999</v>
      </c>
      <c r="O14" s="111">
        <f>Table112345791011[[#This Row],[M (KN.mm)]]/(Table112345791011[[#This Row],[b (mm)]]*Table112345791011[[#This Row],[h (mm)]]*Table112345791011[[#This Row],[L(mm)]])</f>
        <v>5.0000000000000001E-4</v>
      </c>
      <c r="P14" s="111">
        <f>Table112345791011[[#This Row],[M (KN.mm)]]/(Table112345791011[[#This Row],[b (mm)]]*Table112345791011[[#This Row],[d (mm)]]*Table112345791011[[#This Row],[L(mm)]])</f>
        <v>5.8333333333333338E-4</v>
      </c>
      <c r="Q14" s="111">
        <f>Table112345791011[[#This Row],[M (KN.mm)]]/(Table112345791011[[#This Row],[b (mm)]]*Table112345791011[[#This Row],[h (mm)]]*Table112345791011[[#This Row],[L(mm)]]*Table112345791011[[#This Row],[fc (Mpa)]])</f>
        <v>1.0111223458038421E-5</v>
      </c>
      <c r="R14" s="111">
        <f>Table112345791011[[#This Row],[M (KN.mm)]]/(Table112345791011[[#This Row],[b (mm)]]*Table112345791011[[#This Row],[h (mm)]]*Table112345791011[[#This Row],[L(mm)]]/2)</f>
        <v>1E-3</v>
      </c>
      <c r="S14" s="111">
        <f>Table112345791011[[#This Row],[M (KN.mm)]]/(Table112345791011[[#This Row],[a (mm)]]*Table112345791011[[#This Row],[b (mm)]]*Table112345791011[[#This Row],[h (mm)]]*Table112345791011[[#This Row],[L(mm)]]/2)</f>
        <v>6.6616038477423814E-7</v>
      </c>
      <c r="T14" s="304">
        <f>G14/($AL$5*AH14*0.001*Table112345791011[[#This Row],[pho (%)]])</f>
        <v>2.3658743178052005E-6</v>
      </c>
      <c r="U14" s="111">
        <f>Table112345791011[[#This Row],[M (KN.mm)]]/(Table112345791011[[#This Row],[b (mm)]]*Table112345791011[[#This Row],[d (mm)]]*Table112345791011[[#This Row],[pho (%)]])</f>
        <v>0.74208898305084736</v>
      </c>
      <c r="V14" s="111">
        <f>E14*224.8/(2*SQRT(Table112345791011[[#This Row],[fc (Mpa)]]*145.037)*Table112345791011[[#This Row],[b (mm)]]*Table112345791011[[#This Row],[d (mm)]]*(1/25.4)^2)</f>
        <v>0.99898273394390236</v>
      </c>
      <c r="W14" s="111">
        <f>Table112345791011[[#This Row],[M (KN.mm)]]/$G$22</f>
        <v>0.46666666666666667</v>
      </c>
      <c r="X14" s="111">
        <f t="shared" si="4"/>
        <v>0.99898273394390236</v>
      </c>
      <c r="Y14" s="111">
        <f t="shared" si="5"/>
        <v>1501.1399999999999</v>
      </c>
      <c r="Z14" s="111">
        <v>300</v>
      </c>
      <c r="AA14" s="111">
        <v>350</v>
      </c>
      <c r="AB14" s="111">
        <v>200</v>
      </c>
      <c r="AC14" s="109">
        <v>49.45</v>
      </c>
      <c r="AD14" s="111">
        <f>Table112345791011[[#This Row],[pho (%)]]*Table112345791011[[#This Row],[b (mm)]]*Table112345791011[[#This Row],[h (mm)]]/100</f>
        <v>1652</v>
      </c>
      <c r="AE14" s="109">
        <v>2.36</v>
      </c>
      <c r="AF14" s="111">
        <v>531</v>
      </c>
      <c r="AG14" s="111">
        <f>(1/3-0.21*(MIN(Table112345791011[[#This Row],[b (mm)]],AA14)/MAX(Table112345791011[[#This Row],[b (mm)]],AA14))*(MIN(Table112345791011[[#This Row],[b (mm)]],AA14)^4/(12*MAX(Table112345791011[[#This Row],[b (mm)]],AA14)^4)))*MAX(Table112345791011[[#This Row],[b (mm)]],AA14)*MIN(Table112345791011[[#This Row],[b (mm)]],AA14)^3</f>
        <v>930347910.59280849</v>
      </c>
      <c r="AH14" s="111">
        <f>Table112345791011[[#This Row],[b (mm)]]*AA14^3/12</f>
        <v>714583333.33333337</v>
      </c>
      <c r="AI14" s="307">
        <f>Table112345791011[[#This Row],[a (mm)]]*2</f>
        <v>3002.2799999999997</v>
      </c>
      <c r="AK14"/>
      <c r="AL14"/>
      <c r="AM14"/>
      <c r="AN14"/>
      <c r="AO14"/>
      <c r="AP14"/>
      <c r="AQ14"/>
      <c r="AR14"/>
    </row>
    <row r="15" spans="1:44" ht="15.75" thickBot="1" x14ac:dyDescent="0.3">
      <c r="A15" s="308" t="s">
        <v>213</v>
      </c>
      <c r="B15" s="299">
        <v>14</v>
      </c>
      <c r="C15" s="299">
        <v>7</v>
      </c>
      <c r="D15" s="299">
        <f>Table112345791011[[#This Row],[a (mm)]]/Table112345791011[[#This Row],[d (mm)]]</f>
        <v>5.0037999999999991</v>
      </c>
      <c r="E15" s="316">
        <v>80</v>
      </c>
      <c r="F15" s="303">
        <f>Table112345791011[[#This Row],[d (mm)]]</f>
        <v>300</v>
      </c>
      <c r="G15" s="111">
        <f t="shared" si="6"/>
        <v>120091.19999999998</v>
      </c>
      <c r="H15" s="111">
        <f t="shared" si="7"/>
        <v>6.3811010171660256E-6</v>
      </c>
      <c r="I15" s="111">
        <f>G15/(Table112345791011[[#This Row],[b (mm)]]*Z15^2)</f>
        <v>6.6717333333333323E-3</v>
      </c>
      <c r="J15" s="111">
        <f t="shared" si="8"/>
        <v>0.45547889093193022</v>
      </c>
      <c r="K15" s="111">
        <f t="shared" si="9"/>
        <v>2.738513916813688E-6</v>
      </c>
      <c r="L15" s="111">
        <f>E15/(Table112345791011[[#This Row],[b (mm)]]*Z15)</f>
        <v>1.3333333333333333E-3</v>
      </c>
      <c r="M15" s="111">
        <f>Table112345791011[[#This Row],[M (KN.mm)]]/(Table112345791011[[#This Row],[b (mm)]]*Table112345791011[[#This Row],[d (mm)]])</f>
        <v>2.0015199999999997</v>
      </c>
      <c r="N15" s="111">
        <f>Table112345791011[[#This Row],[M (KN.mm)]]/(Table112345791011[[#This Row],[b (mm)]]*Table112345791011[[#This Row],[h (mm)]])</f>
        <v>1.7155885714285712</v>
      </c>
      <c r="O15" s="111">
        <f>Table112345791011[[#This Row],[M (KN.mm)]]/(Table112345791011[[#This Row],[b (mm)]]*Table112345791011[[#This Row],[h (mm)]]*Table112345791011[[#This Row],[L(mm)]])</f>
        <v>5.7142857142857147E-4</v>
      </c>
      <c r="P15" s="111">
        <f>Table112345791011[[#This Row],[M (KN.mm)]]/(Table112345791011[[#This Row],[b (mm)]]*Table112345791011[[#This Row],[d (mm)]]*Table112345791011[[#This Row],[L(mm)]])</f>
        <v>6.6666666666666664E-4</v>
      </c>
      <c r="Q15" s="111">
        <f>Table112345791011[[#This Row],[M (KN.mm)]]/(Table112345791011[[#This Row],[b (mm)]]*Table112345791011[[#This Row],[h (mm)]]*Table112345791011[[#This Row],[L(mm)]]*Table112345791011[[#This Row],[fc (Mpa)]])</f>
        <v>1.155568395204391E-5</v>
      </c>
      <c r="R15" s="111">
        <f>Table112345791011[[#This Row],[M (KN.mm)]]/(Table112345791011[[#This Row],[b (mm)]]*Table112345791011[[#This Row],[h (mm)]]*Table112345791011[[#This Row],[L(mm)]]/2)</f>
        <v>1.1428571428571429E-3</v>
      </c>
      <c r="S15" s="111">
        <f>Table112345791011[[#This Row],[M (KN.mm)]]/(Table112345791011[[#This Row],[a (mm)]]*Table112345791011[[#This Row],[b (mm)]]*Table112345791011[[#This Row],[h (mm)]]*Table112345791011[[#This Row],[L(mm)]]/2)</f>
        <v>7.6132615402770076E-7</v>
      </c>
      <c r="T15" s="304">
        <f>G15/($AL$5*AH15*0.001*Table112345791011[[#This Row],[pho (%)]])</f>
        <v>2.7038563632059432E-6</v>
      </c>
      <c r="U15" s="111">
        <f>Table112345791011[[#This Row],[M (KN.mm)]]/(Table112345791011[[#This Row],[b (mm)]]*Table112345791011[[#This Row],[d (mm)]]*Table112345791011[[#This Row],[pho (%)]])</f>
        <v>0.84810169491525411</v>
      </c>
      <c r="V15" s="111">
        <f>E15*224.8/(2*SQRT(Table112345791011[[#This Row],[fc (Mpa)]]*145.037)*Table112345791011[[#This Row],[b (mm)]]*Table112345791011[[#This Row],[d (mm)]]*(1/25.4)^2)</f>
        <v>1.1416945530787457</v>
      </c>
      <c r="W15" s="111">
        <f>Table112345791011[[#This Row],[M (KN.mm)]]/$G$22</f>
        <v>0.53333333333333333</v>
      </c>
      <c r="X15" s="111">
        <f t="shared" si="4"/>
        <v>1.1416945530787457</v>
      </c>
      <c r="Y15" s="111">
        <f t="shared" si="5"/>
        <v>1501.1399999999999</v>
      </c>
      <c r="Z15" s="111">
        <v>300</v>
      </c>
      <c r="AA15" s="111">
        <v>350</v>
      </c>
      <c r="AB15" s="111">
        <v>200</v>
      </c>
      <c r="AC15" s="109">
        <v>49.45</v>
      </c>
      <c r="AD15" s="111">
        <f>Table112345791011[[#This Row],[pho (%)]]*Table112345791011[[#This Row],[b (mm)]]*Table112345791011[[#This Row],[h (mm)]]/100</f>
        <v>1652</v>
      </c>
      <c r="AE15" s="109">
        <v>2.36</v>
      </c>
      <c r="AF15" s="111">
        <v>532</v>
      </c>
      <c r="AG15" s="111">
        <f>(1/3-0.21*(MIN(Table112345791011[[#This Row],[b (mm)]],AA15)/MAX(Table112345791011[[#This Row],[b (mm)]],AA15))*(MIN(Table112345791011[[#This Row],[b (mm)]],AA15)^4/(12*MAX(Table112345791011[[#This Row],[b (mm)]],AA15)^4)))*MAX(Table112345791011[[#This Row],[b (mm)]],AA15)*MIN(Table112345791011[[#This Row],[b (mm)]],AA15)^3</f>
        <v>930347910.59280849</v>
      </c>
      <c r="AH15" s="111">
        <f>Table112345791011[[#This Row],[b (mm)]]*AA15^3/12</f>
        <v>714583333.33333337</v>
      </c>
      <c r="AI15" s="307">
        <f>Table112345791011[[#This Row],[a (mm)]]*2</f>
        <v>3002.2799999999997</v>
      </c>
      <c r="AK15"/>
      <c r="AL15"/>
      <c r="AM15"/>
      <c r="AN15"/>
      <c r="AO15"/>
      <c r="AP15"/>
      <c r="AQ15"/>
      <c r="AR15"/>
    </row>
    <row r="16" spans="1:44" ht="15.75" thickBot="1" x14ac:dyDescent="0.3">
      <c r="A16" s="308" t="s">
        <v>213</v>
      </c>
      <c r="B16" s="299">
        <v>15</v>
      </c>
      <c r="C16" s="299">
        <v>8</v>
      </c>
      <c r="D16" s="299">
        <f>Table112345791011[[#This Row],[a (mm)]]/Table112345791011[[#This Row],[d (mm)]]</f>
        <v>5.0037999999999991</v>
      </c>
      <c r="E16" s="316">
        <v>90</v>
      </c>
      <c r="F16" s="303">
        <f>Table112345791011[[#This Row],[d (mm)]]</f>
        <v>300</v>
      </c>
      <c r="G16" s="111">
        <f t="shared" si="6"/>
        <v>135102.59999999998</v>
      </c>
      <c r="H16" s="111">
        <f t="shared" si="7"/>
        <v>7.1787386443117788E-6</v>
      </c>
      <c r="I16" s="111">
        <f>G16/(Table112345791011[[#This Row],[b (mm)]]*Z16^2)</f>
        <v>7.5056999999999988E-3</v>
      </c>
      <c r="J16" s="111">
        <f t="shared" si="8"/>
        <v>0.51145237565245827</v>
      </c>
      <c r="K16" s="111">
        <f t="shared" si="9"/>
        <v>3.0808281564153988E-6</v>
      </c>
      <c r="L16" s="111">
        <f>E16/(Table112345791011[[#This Row],[b (mm)]]*Z16)</f>
        <v>1.5E-3</v>
      </c>
      <c r="M16" s="111">
        <f>Table112345791011[[#This Row],[M (KN.mm)]]/(Table112345791011[[#This Row],[b (mm)]]*Table112345791011[[#This Row],[d (mm)]])</f>
        <v>2.2517099999999997</v>
      </c>
      <c r="N16" s="111">
        <f>Table112345791011[[#This Row],[M (KN.mm)]]/(Table112345791011[[#This Row],[b (mm)]]*Table112345791011[[#This Row],[h (mm)]])</f>
        <v>1.9300371428571426</v>
      </c>
      <c r="O16" s="111">
        <f>Table112345791011[[#This Row],[M (KN.mm)]]/(Table112345791011[[#This Row],[b (mm)]]*Table112345791011[[#This Row],[h (mm)]]*Table112345791011[[#This Row],[L(mm)]])</f>
        <v>6.4285714285714282E-4</v>
      </c>
      <c r="P16" s="111">
        <f>Table112345791011[[#This Row],[M (KN.mm)]]/(Table112345791011[[#This Row],[b (mm)]]*Table112345791011[[#This Row],[d (mm)]]*Table112345791011[[#This Row],[L(mm)]])</f>
        <v>7.5000000000000002E-4</v>
      </c>
      <c r="Q16" s="111">
        <f>Table112345791011[[#This Row],[M (KN.mm)]]/(Table112345791011[[#This Row],[b (mm)]]*Table112345791011[[#This Row],[h (mm)]]*Table112345791011[[#This Row],[L(mm)]]*Table112345791011[[#This Row],[fc (Mpa)]])</f>
        <v>1.3000144446049398E-5</v>
      </c>
      <c r="R16" s="111">
        <f>Table112345791011[[#This Row],[M (KN.mm)]]/(Table112345791011[[#This Row],[b (mm)]]*Table112345791011[[#This Row],[h (mm)]]*Table112345791011[[#This Row],[L(mm)]]/2)</f>
        <v>1.2857142857142856E-3</v>
      </c>
      <c r="S16" s="111">
        <f>Table112345791011[[#This Row],[M (KN.mm)]]/(Table112345791011[[#This Row],[a (mm)]]*Table112345791011[[#This Row],[b (mm)]]*Table112345791011[[#This Row],[h (mm)]]*Table112345791011[[#This Row],[L(mm)]]/2)</f>
        <v>8.5649192328116327E-7</v>
      </c>
      <c r="T16" s="304">
        <f>G16/($AL$5*AH16*0.001*Table112345791011[[#This Row],[pho (%)]])</f>
        <v>3.0418384086066863E-6</v>
      </c>
      <c r="U16" s="111">
        <f>Table112345791011[[#This Row],[M (KN.mm)]]/(Table112345791011[[#This Row],[b (mm)]]*Table112345791011[[#This Row],[d (mm)]]*Table112345791011[[#This Row],[pho (%)]])</f>
        <v>0.95411440677966086</v>
      </c>
      <c r="V16" s="111">
        <f>E16*224.8/(2*SQRT(Table112345791011[[#This Row],[fc (Mpa)]]*145.037)*Table112345791011[[#This Row],[b (mm)]]*Table112345791011[[#This Row],[d (mm)]]*(1/25.4)^2)</f>
        <v>1.2844063722135888</v>
      </c>
      <c r="W16" s="111">
        <f>Table112345791011[[#This Row],[M (KN.mm)]]/$G$22</f>
        <v>0.6</v>
      </c>
      <c r="X16" s="111">
        <f t="shared" si="4"/>
        <v>1.2844063722135888</v>
      </c>
      <c r="Y16" s="111">
        <f t="shared" si="5"/>
        <v>1501.1399999999999</v>
      </c>
      <c r="Z16" s="111">
        <v>300</v>
      </c>
      <c r="AA16" s="111">
        <v>350</v>
      </c>
      <c r="AB16" s="111">
        <v>200</v>
      </c>
      <c r="AC16" s="109">
        <v>49.45</v>
      </c>
      <c r="AD16" s="111">
        <f>Table112345791011[[#This Row],[pho (%)]]*Table112345791011[[#This Row],[b (mm)]]*Table112345791011[[#This Row],[h (mm)]]/100</f>
        <v>1652</v>
      </c>
      <c r="AE16" s="109">
        <v>2.36</v>
      </c>
      <c r="AF16" s="111">
        <v>533</v>
      </c>
      <c r="AG16" s="111">
        <f>(1/3-0.21*(MIN(Table112345791011[[#This Row],[b (mm)]],AA16)/MAX(Table112345791011[[#This Row],[b (mm)]],AA16))*(MIN(Table112345791011[[#This Row],[b (mm)]],AA16)^4/(12*MAX(Table112345791011[[#This Row],[b (mm)]],AA16)^4)))*MAX(Table112345791011[[#This Row],[b (mm)]],AA16)*MIN(Table112345791011[[#This Row],[b (mm)]],AA16)^3</f>
        <v>930347910.59280849</v>
      </c>
      <c r="AH16" s="111">
        <f>Table112345791011[[#This Row],[b (mm)]]*AA16^3/12</f>
        <v>714583333.33333337</v>
      </c>
      <c r="AI16" s="307">
        <f>Table112345791011[[#This Row],[a (mm)]]*2</f>
        <v>3002.2799999999997</v>
      </c>
      <c r="AK16"/>
      <c r="AL16"/>
      <c r="AM16"/>
      <c r="AN16"/>
      <c r="AO16"/>
      <c r="AP16"/>
      <c r="AQ16"/>
      <c r="AR16"/>
    </row>
    <row r="17" spans="1:44" ht="15.75" thickBot="1" x14ac:dyDescent="0.3">
      <c r="A17" s="308" t="s">
        <v>213</v>
      </c>
      <c r="B17" s="299">
        <v>16</v>
      </c>
      <c r="C17" s="299">
        <v>9</v>
      </c>
      <c r="D17" s="299">
        <f>Table112345791011[[#This Row],[a (mm)]]/Table112345791011[[#This Row],[d (mm)]]</f>
        <v>5.0037999999999991</v>
      </c>
      <c r="E17" s="316">
        <v>100</v>
      </c>
      <c r="F17" s="303">
        <f>Table112345791011[[#This Row],[d (mm)]]</f>
        <v>300</v>
      </c>
      <c r="G17" s="111">
        <f t="shared" si="6"/>
        <v>150114</v>
      </c>
      <c r="H17" s="111">
        <f t="shared" si="7"/>
        <v>7.9763762714575337E-6</v>
      </c>
      <c r="I17" s="111">
        <f>G17/(Table112345791011[[#This Row],[b (mm)]]*Z17^2)</f>
        <v>8.3396666666666671E-3</v>
      </c>
      <c r="J17" s="111">
        <f t="shared" si="8"/>
        <v>0.56721622185343379</v>
      </c>
      <c r="K17" s="111">
        <f t="shared" si="9"/>
        <v>3.42314239601711E-6</v>
      </c>
      <c r="L17" s="111">
        <f>E17/(Table112345791011[[#This Row],[b (mm)]]*Z17)</f>
        <v>1.6666666666666668E-3</v>
      </c>
      <c r="M17" s="111">
        <f>Table112345791011[[#This Row],[M (KN.mm)]]/(Table112345791011[[#This Row],[b (mm)]]*Table112345791011[[#This Row],[d (mm)]])</f>
        <v>2.5019</v>
      </c>
      <c r="N17" s="111">
        <f>Table112345791011[[#This Row],[M (KN.mm)]]/(Table112345791011[[#This Row],[b (mm)]]*Table112345791011[[#This Row],[h (mm)]])</f>
        <v>2.1444857142857141</v>
      </c>
      <c r="O17" s="111">
        <f>Table112345791011[[#This Row],[M (KN.mm)]]/(Table112345791011[[#This Row],[b (mm)]]*Table112345791011[[#This Row],[h (mm)]]*Table112345791011[[#This Row],[L(mm)]])</f>
        <v>7.1428571428571439E-4</v>
      </c>
      <c r="P17" s="111">
        <f>Table112345791011[[#This Row],[M (KN.mm)]]/(Table112345791011[[#This Row],[b (mm)]]*Table112345791011[[#This Row],[d (mm)]]*Table112345791011[[#This Row],[L(mm)]])</f>
        <v>8.333333333333335E-4</v>
      </c>
      <c r="Q17" s="111">
        <f>Table112345791011[[#This Row],[M (KN.mm)]]/(Table112345791011[[#This Row],[b (mm)]]*Table112345791011[[#This Row],[h (mm)]]*Table112345791011[[#This Row],[L(mm)]]*Table112345791011[[#This Row],[fc (Mpa)]])</f>
        <v>1.444460494005489E-5</v>
      </c>
      <c r="R17" s="111">
        <f>Table112345791011[[#This Row],[M (KN.mm)]]/(Table112345791011[[#This Row],[b (mm)]]*Table112345791011[[#This Row],[h (mm)]]*Table112345791011[[#This Row],[L(mm)]]/2)</f>
        <v>1.4285714285714288E-3</v>
      </c>
      <c r="S17" s="111">
        <f>Table112345791011[[#This Row],[M (KN.mm)]]/(Table112345791011[[#This Row],[a (mm)]]*Table112345791011[[#This Row],[b (mm)]]*Table112345791011[[#This Row],[h (mm)]]*Table112345791011[[#This Row],[L(mm)]]/2)</f>
        <v>9.516576925346261E-7</v>
      </c>
      <c r="T17" s="304">
        <f>G17/($AL$5*AH17*0.001*Table112345791011[[#This Row],[pho (%)]])</f>
        <v>3.3798204540074299E-6</v>
      </c>
      <c r="U17" s="111">
        <f>Table112345791011[[#This Row],[M (KN.mm)]]/(Table112345791011[[#This Row],[b (mm)]]*Table112345791011[[#This Row],[d (mm)]]*Table112345791011[[#This Row],[pho (%)]])</f>
        <v>1.0601271186440677</v>
      </c>
      <c r="V17" s="111">
        <f>E17*224.8/(2*SQRT(Table112345791011[[#This Row],[fc (Mpa)]]*145.037)*Table112345791011[[#This Row],[b (mm)]]*Table112345791011[[#This Row],[d (mm)]]*(1/25.4)^2)</f>
        <v>1.4271181913484321</v>
      </c>
      <c r="W17" s="111">
        <f>Table112345791011[[#This Row],[M (KN.mm)]]/$G$22</f>
        <v>0.66666666666666674</v>
      </c>
      <c r="X17" s="111">
        <f t="shared" si="4"/>
        <v>1.4271181913484321</v>
      </c>
      <c r="Y17" s="111">
        <f t="shared" si="5"/>
        <v>1501.1399999999999</v>
      </c>
      <c r="Z17" s="111">
        <v>300</v>
      </c>
      <c r="AA17" s="111">
        <v>350</v>
      </c>
      <c r="AB17" s="111">
        <v>200</v>
      </c>
      <c r="AC17" s="109">
        <v>49.45</v>
      </c>
      <c r="AD17" s="111">
        <f>Table112345791011[[#This Row],[pho (%)]]*Table112345791011[[#This Row],[b (mm)]]*Table112345791011[[#This Row],[h (mm)]]/100</f>
        <v>1652</v>
      </c>
      <c r="AE17" s="109">
        <v>2.36</v>
      </c>
      <c r="AF17" s="111">
        <v>534</v>
      </c>
      <c r="AG17" s="111">
        <f>(1/3-0.21*(MIN(Table112345791011[[#This Row],[b (mm)]],AA17)/MAX(Table112345791011[[#This Row],[b (mm)]],AA17))*(MIN(Table112345791011[[#This Row],[b (mm)]],AA17)^4/(12*MAX(Table112345791011[[#This Row],[b (mm)]],AA17)^4)))*MAX(Table112345791011[[#This Row],[b (mm)]],AA17)*MIN(Table112345791011[[#This Row],[b (mm)]],AA17)^3</f>
        <v>930347910.59280849</v>
      </c>
      <c r="AH17" s="111">
        <f>Table112345791011[[#This Row],[b (mm)]]*AA17^3/12</f>
        <v>714583333.33333337</v>
      </c>
      <c r="AI17" s="307">
        <f>Table112345791011[[#This Row],[a (mm)]]*2</f>
        <v>3002.2799999999997</v>
      </c>
      <c r="AK17"/>
      <c r="AL17"/>
      <c r="AM17"/>
      <c r="AN17"/>
      <c r="AO17"/>
      <c r="AP17"/>
      <c r="AQ17"/>
      <c r="AR17"/>
    </row>
    <row r="18" spans="1:44" s="129" customFormat="1" ht="15.75" thickBot="1" x14ac:dyDescent="0.3">
      <c r="A18" s="308" t="s">
        <v>213</v>
      </c>
      <c r="B18" s="299">
        <v>17</v>
      </c>
      <c r="C18" s="299">
        <v>10</v>
      </c>
      <c r="D18" s="299">
        <f>Table112345791011[[#This Row],[a (mm)]]/Table112345791011[[#This Row],[d (mm)]]</f>
        <v>5.0037999999999991</v>
      </c>
      <c r="E18" s="316">
        <v>110</v>
      </c>
      <c r="F18" s="303">
        <f>Table112345791011[[#This Row],[d (mm)]]</f>
        <v>300</v>
      </c>
      <c r="G18" s="111">
        <f t="shared" si="6"/>
        <v>165125.4</v>
      </c>
      <c r="H18" s="111">
        <f t="shared" si="7"/>
        <v>8.7740138986032861E-6</v>
      </c>
      <c r="I18" s="111">
        <f>G18/(Table112345791011[[#This Row],[b (mm)]]*Z18^2)</f>
        <v>9.1736333333333336E-3</v>
      </c>
      <c r="J18" s="111">
        <f t="shared" si="8"/>
        <v>0.62277160507795704</v>
      </c>
      <c r="K18" s="111">
        <f t="shared" si="9"/>
        <v>3.7654566356188208E-6</v>
      </c>
      <c r="L18" s="111">
        <f>E18/(Table112345791011[[#This Row],[b (mm)]]*Z18)</f>
        <v>1.8333333333333333E-3</v>
      </c>
      <c r="M18" s="111">
        <f>Table112345791011[[#This Row],[M (KN.mm)]]/(Table112345791011[[#This Row],[b (mm)]]*Table112345791011[[#This Row],[d (mm)]])</f>
        <v>2.7520899999999999</v>
      </c>
      <c r="N18" s="111">
        <f>Table112345791011[[#This Row],[M (KN.mm)]]/(Table112345791011[[#This Row],[b (mm)]]*Table112345791011[[#This Row],[h (mm)]])</f>
        <v>2.3589342857142857</v>
      </c>
      <c r="O18" s="111">
        <f>Table112345791011[[#This Row],[M (KN.mm)]]/(Table112345791011[[#This Row],[b (mm)]]*Table112345791011[[#This Row],[h (mm)]]*Table112345791011[[#This Row],[L(mm)]])</f>
        <v>7.8571428571428575E-4</v>
      </c>
      <c r="P18" s="111">
        <f>Table112345791011[[#This Row],[M (KN.mm)]]/(Table112345791011[[#This Row],[b (mm)]]*Table112345791011[[#This Row],[d (mm)]]*Table112345791011[[#This Row],[L(mm)]])</f>
        <v>9.1666666666666676E-4</v>
      </c>
      <c r="Q18" s="111">
        <f>Table112345791011[[#This Row],[M (KN.mm)]]/(Table112345791011[[#This Row],[b (mm)]]*Table112345791011[[#This Row],[h (mm)]]*Table112345791011[[#This Row],[L(mm)]]*Table112345791011[[#This Row],[fc (Mpa)]])</f>
        <v>1.5889065434060378E-5</v>
      </c>
      <c r="R18" s="111">
        <f>Table112345791011[[#This Row],[M (KN.mm)]]/(Table112345791011[[#This Row],[b (mm)]]*Table112345791011[[#This Row],[h (mm)]]*Table112345791011[[#This Row],[L(mm)]]/2)</f>
        <v>1.5714285714285715E-3</v>
      </c>
      <c r="S18" s="111">
        <f>Table112345791011[[#This Row],[M (KN.mm)]]/(Table112345791011[[#This Row],[a (mm)]]*Table112345791011[[#This Row],[b (mm)]]*Table112345791011[[#This Row],[h (mm)]]*Table112345791011[[#This Row],[L(mm)]]/2)</f>
        <v>1.0468234617880887E-6</v>
      </c>
      <c r="T18" s="304">
        <f>G18/($AL$5*AH18*0.001*Table112345791011[[#This Row],[pho (%)]])</f>
        <v>3.7178024994081725E-6</v>
      </c>
      <c r="U18" s="111">
        <f>Table112345791011[[#This Row],[M (KN.mm)]]/(Table112345791011[[#This Row],[b (mm)]]*Table112345791011[[#This Row],[d (mm)]]*Table112345791011[[#This Row],[pho (%)]])</f>
        <v>1.1661398305084745</v>
      </c>
      <c r="V18" s="111">
        <f>E18*224.8/(2*SQRT(Table112345791011[[#This Row],[fc (Mpa)]]*145.037)*Table112345791011[[#This Row],[b (mm)]]*Table112345791011[[#This Row],[d (mm)]]*(1/25.4)^2)</f>
        <v>1.5698300104832752</v>
      </c>
      <c r="W18" s="111">
        <f>Table112345791011[[#This Row],[M (KN.mm)]]/$G$22</f>
        <v>0.73333333333333339</v>
      </c>
      <c r="X18" s="111">
        <f t="shared" si="4"/>
        <v>1.5698300104832752</v>
      </c>
      <c r="Y18" s="111">
        <f t="shared" si="5"/>
        <v>1501.1399999999999</v>
      </c>
      <c r="Z18" s="111">
        <v>300</v>
      </c>
      <c r="AA18" s="111">
        <v>350</v>
      </c>
      <c r="AB18" s="111">
        <v>200</v>
      </c>
      <c r="AC18" s="109">
        <v>49.45</v>
      </c>
      <c r="AD18" s="111">
        <f>Table112345791011[[#This Row],[pho (%)]]*Table112345791011[[#This Row],[b (mm)]]*Table112345791011[[#This Row],[h (mm)]]/100</f>
        <v>1652</v>
      </c>
      <c r="AE18" s="109">
        <v>2.36</v>
      </c>
      <c r="AF18" s="111">
        <v>535</v>
      </c>
      <c r="AG18" s="111">
        <f>(1/3-0.21*(MIN(Table112345791011[[#This Row],[b (mm)]],AA18)/MAX(Table112345791011[[#This Row],[b (mm)]],AA18))*(MIN(Table112345791011[[#This Row],[b (mm)]],AA18)^4/(12*MAX(Table112345791011[[#This Row],[b (mm)]],AA18)^4)))*MAX(Table112345791011[[#This Row],[b (mm)]],AA18)*MIN(Table112345791011[[#This Row],[b (mm)]],AA18)^3</f>
        <v>930347910.59280849</v>
      </c>
      <c r="AH18" s="111">
        <f>Table112345791011[[#This Row],[b (mm)]]*AA18^3/12</f>
        <v>714583333.33333337</v>
      </c>
      <c r="AI18" s="307">
        <f>Table112345791011[[#This Row],[a (mm)]]*2</f>
        <v>3002.2799999999997</v>
      </c>
      <c r="AJ18"/>
      <c r="AK18"/>
      <c r="AL18"/>
      <c r="AM18"/>
      <c r="AN18"/>
      <c r="AO18"/>
      <c r="AP18"/>
      <c r="AQ18"/>
      <c r="AR18"/>
    </row>
    <row r="19" spans="1:44" s="129" customFormat="1" ht="15.75" thickBot="1" x14ac:dyDescent="0.3">
      <c r="A19" s="308" t="s">
        <v>213</v>
      </c>
      <c r="B19" s="299">
        <v>18</v>
      </c>
      <c r="C19" s="299">
        <v>11</v>
      </c>
      <c r="D19" s="299">
        <f>Table112345791011[[#This Row],[a (mm)]]/Table112345791011[[#This Row],[d (mm)]]</f>
        <v>5.0037999999999991</v>
      </c>
      <c r="E19" s="316">
        <v>120</v>
      </c>
      <c r="F19" s="303">
        <f>Table112345791011[[#This Row],[d (mm)]]</f>
        <v>300</v>
      </c>
      <c r="G19" s="111">
        <f t="shared" si="6"/>
        <v>180136.8</v>
      </c>
      <c r="H19" s="111">
        <f t="shared" si="7"/>
        <v>9.5716515257490401E-6</v>
      </c>
      <c r="I19" s="111">
        <f>G19/(Table112345791011[[#This Row],[b (mm)]]*Z19^2)</f>
        <v>1.00076E-2</v>
      </c>
      <c r="J19" s="111">
        <f t="shared" si="8"/>
        <v>0.67811969209641865</v>
      </c>
      <c r="K19" s="111">
        <f t="shared" si="9"/>
        <v>4.107770875220532E-6</v>
      </c>
      <c r="L19" s="111">
        <f>E19/(Table112345791011[[#This Row],[b (mm)]]*Z19)</f>
        <v>2E-3</v>
      </c>
      <c r="M19" s="111">
        <f>Table112345791011[[#This Row],[M (KN.mm)]]/(Table112345791011[[#This Row],[b (mm)]]*Table112345791011[[#This Row],[d (mm)]])</f>
        <v>3.0022799999999998</v>
      </c>
      <c r="N19" s="111">
        <f>Table112345791011[[#This Row],[M (KN.mm)]]/(Table112345791011[[#This Row],[b (mm)]]*Table112345791011[[#This Row],[h (mm)]])</f>
        <v>2.5733828571428572</v>
      </c>
      <c r="O19" s="111">
        <f>Table112345791011[[#This Row],[M (KN.mm)]]/(Table112345791011[[#This Row],[b (mm)]]*Table112345791011[[#This Row],[h (mm)]]*Table112345791011[[#This Row],[L(mm)]])</f>
        <v>8.5714285714285721E-4</v>
      </c>
      <c r="P19" s="111">
        <f>Table112345791011[[#This Row],[M (KN.mm)]]/(Table112345791011[[#This Row],[b (mm)]]*Table112345791011[[#This Row],[d (mm)]]*Table112345791011[[#This Row],[L(mm)]])</f>
        <v>1E-3</v>
      </c>
      <c r="Q19" s="111">
        <f>Table112345791011[[#This Row],[M (KN.mm)]]/(Table112345791011[[#This Row],[b (mm)]]*Table112345791011[[#This Row],[h (mm)]]*Table112345791011[[#This Row],[L(mm)]]*Table112345791011[[#This Row],[fc (Mpa)]])</f>
        <v>1.7333525928065866E-5</v>
      </c>
      <c r="R19" s="111">
        <f>Table112345791011[[#This Row],[M (KN.mm)]]/(Table112345791011[[#This Row],[b (mm)]]*Table112345791011[[#This Row],[h (mm)]]*Table112345791011[[#This Row],[L(mm)]]/2)</f>
        <v>1.7142857142857144E-3</v>
      </c>
      <c r="S19" s="111">
        <f>Table112345791011[[#This Row],[M (KN.mm)]]/(Table112345791011[[#This Row],[a (mm)]]*Table112345791011[[#This Row],[b (mm)]]*Table112345791011[[#This Row],[h (mm)]]*Table112345791011[[#This Row],[L(mm)]]/2)</f>
        <v>1.1419892310415512E-6</v>
      </c>
      <c r="T19" s="304">
        <f>G19/($AL$5*AH19*0.001*Table112345791011[[#This Row],[pho (%)]])</f>
        <v>4.0557845448089157E-6</v>
      </c>
      <c r="U19" s="111">
        <f>Table112345791011[[#This Row],[M (KN.mm)]]/(Table112345791011[[#This Row],[b (mm)]]*Table112345791011[[#This Row],[d (mm)]]*Table112345791011[[#This Row],[pho (%)]])</f>
        <v>1.2721525423728812</v>
      </c>
      <c r="V19" s="111">
        <f>E19*224.8/(2*SQRT(Table112345791011[[#This Row],[fc (Mpa)]]*145.037)*Table112345791011[[#This Row],[b (mm)]]*Table112345791011[[#This Row],[d (mm)]]*(1/25.4)^2)</f>
        <v>1.7125418296181183</v>
      </c>
      <c r="W19" s="111">
        <f>Table112345791011[[#This Row],[M (KN.mm)]]/$G$22</f>
        <v>0.8</v>
      </c>
      <c r="X19" s="111">
        <f t="shared" si="4"/>
        <v>1.7125418296181183</v>
      </c>
      <c r="Y19" s="111">
        <f t="shared" si="5"/>
        <v>1501.1399999999999</v>
      </c>
      <c r="Z19" s="111">
        <v>300</v>
      </c>
      <c r="AA19" s="111">
        <v>350</v>
      </c>
      <c r="AB19" s="111">
        <v>200</v>
      </c>
      <c r="AC19" s="109">
        <v>49.45</v>
      </c>
      <c r="AD19" s="111">
        <f>Table112345791011[[#This Row],[pho (%)]]*Table112345791011[[#This Row],[b (mm)]]*Table112345791011[[#This Row],[h (mm)]]/100</f>
        <v>1652</v>
      </c>
      <c r="AE19" s="109">
        <v>2.36</v>
      </c>
      <c r="AF19" s="111">
        <v>536</v>
      </c>
      <c r="AG19" s="111">
        <f>(1/3-0.21*(MIN(Table112345791011[[#This Row],[b (mm)]],AA19)/MAX(Table112345791011[[#This Row],[b (mm)]],AA19))*(MIN(Table112345791011[[#This Row],[b (mm)]],AA19)^4/(12*MAX(Table112345791011[[#This Row],[b (mm)]],AA19)^4)))*MAX(Table112345791011[[#This Row],[b (mm)]],AA19)*MIN(Table112345791011[[#This Row],[b (mm)]],AA19)^3</f>
        <v>930347910.59280849</v>
      </c>
      <c r="AH19" s="111">
        <f>Table112345791011[[#This Row],[b (mm)]]*AA19^3/12</f>
        <v>714583333.33333337</v>
      </c>
      <c r="AI19" s="307">
        <f>Table112345791011[[#This Row],[a (mm)]]*2</f>
        <v>3002.2799999999997</v>
      </c>
      <c r="AJ19"/>
      <c r="AK19"/>
      <c r="AL19"/>
      <c r="AM19"/>
      <c r="AN19"/>
      <c r="AO19"/>
      <c r="AP19"/>
      <c r="AQ19"/>
      <c r="AR19"/>
    </row>
    <row r="20" spans="1:44" s="129" customFormat="1" ht="15.75" thickBot="1" x14ac:dyDescent="0.3">
      <c r="A20" s="308" t="s">
        <v>213</v>
      </c>
      <c r="B20" s="299">
        <v>19</v>
      </c>
      <c r="C20" s="299">
        <v>12</v>
      </c>
      <c r="D20" s="299">
        <f>Table112345791011[[#This Row],[a (mm)]]/Table112345791011[[#This Row],[d (mm)]]</f>
        <v>5.0037999999999991</v>
      </c>
      <c r="E20" s="316">
        <v>130</v>
      </c>
      <c r="F20" s="303">
        <f>Table112345791011[[#This Row],[d (mm)]]</f>
        <v>300</v>
      </c>
      <c r="G20" s="111">
        <f t="shared" si="6"/>
        <v>195148.19999999998</v>
      </c>
      <c r="H20" s="111">
        <f t="shared" si="7"/>
        <v>1.0369289152894792E-5</v>
      </c>
      <c r="I20" s="111">
        <f>G20/(Table112345791011[[#This Row],[b (mm)]]*Z20^2)</f>
        <v>1.0841566666666665E-2</v>
      </c>
      <c r="J20" s="111">
        <f t="shared" si="8"/>
        <v>0.73326164098818192</v>
      </c>
      <c r="K20" s="111">
        <f t="shared" si="9"/>
        <v>4.4500851148222428E-6</v>
      </c>
      <c r="L20" s="111">
        <f>E20/(Table112345791011[[#This Row],[b (mm)]]*Z20)</f>
        <v>2.1666666666666666E-3</v>
      </c>
      <c r="M20" s="111">
        <f>Table112345791011[[#This Row],[M (KN.mm)]]/(Table112345791011[[#This Row],[b (mm)]]*Table112345791011[[#This Row],[d (mm)]])</f>
        <v>3.2524699999999998</v>
      </c>
      <c r="N20" s="111">
        <f>Table112345791011[[#This Row],[M (KN.mm)]]/(Table112345791011[[#This Row],[b (mm)]]*Table112345791011[[#This Row],[h (mm)]])</f>
        <v>2.7878314285714283</v>
      </c>
      <c r="O20" s="111">
        <f>Table112345791011[[#This Row],[M (KN.mm)]]/(Table112345791011[[#This Row],[b (mm)]]*Table112345791011[[#This Row],[h (mm)]]*Table112345791011[[#This Row],[L(mm)]])</f>
        <v>9.2857142857142867E-4</v>
      </c>
      <c r="P20" s="111">
        <f>Table112345791011[[#This Row],[M (KN.mm)]]/(Table112345791011[[#This Row],[b (mm)]]*Table112345791011[[#This Row],[d (mm)]]*Table112345791011[[#This Row],[L(mm)]])</f>
        <v>1.0833333333333335E-3</v>
      </c>
      <c r="Q20" s="111">
        <f>Table112345791011[[#This Row],[M (KN.mm)]]/(Table112345791011[[#This Row],[b (mm)]]*Table112345791011[[#This Row],[h (mm)]]*Table112345791011[[#This Row],[L(mm)]]*Table112345791011[[#This Row],[fc (Mpa)]])</f>
        <v>1.8777986422071355E-5</v>
      </c>
      <c r="R20" s="111">
        <f>Table112345791011[[#This Row],[M (KN.mm)]]/(Table112345791011[[#This Row],[b (mm)]]*Table112345791011[[#This Row],[h (mm)]]*Table112345791011[[#This Row],[L(mm)]]/2)</f>
        <v>1.8571428571428573E-3</v>
      </c>
      <c r="S20" s="111">
        <f>Table112345791011[[#This Row],[M (KN.mm)]]/(Table112345791011[[#This Row],[a (mm)]]*Table112345791011[[#This Row],[b (mm)]]*Table112345791011[[#This Row],[h (mm)]]*Table112345791011[[#This Row],[L(mm)]]/2)</f>
        <v>1.2371550002950138E-6</v>
      </c>
      <c r="T20" s="304">
        <f>G20/($AL$5*AH20*0.001*Table112345791011[[#This Row],[pho (%)]])</f>
        <v>4.3937665902096579E-6</v>
      </c>
      <c r="U20" s="111">
        <f>Table112345791011[[#This Row],[M (KN.mm)]]/(Table112345791011[[#This Row],[b (mm)]]*Table112345791011[[#This Row],[d (mm)]]*Table112345791011[[#This Row],[pho (%)]])</f>
        <v>1.378165254237288</v>
      </c>
      <c r="V20" s="111">
        <f>E20*224.8/(2*SQRT(Table112345791011[[#This Row],[fc (Mpa)]]*145.037)*Table112345791011[[#This Row],[b (mm)]]*Table112345791011[[#This Row],[d (mm)]]*(1/25.4)^2)</f>
        <v>1.8552536487529616</v>
      </c>
      <c r="W20" s="111">
        <f>Table112345791011[[#This Row],[M (KN.mm)]]/$G$22</f>
        <v>0.8666666666666667</v>
      </c>
      <c r="X20" s="111">
        <f t="shared" si="4"/>
        <v>1.8552536487529616</v>
      </c>
      <c r="Y20" s="111">
        <f t="shared" si="5"/>
        <v>1501.1399999999999</v>
      </c>
      <c r="Z20" s="111">
        <v>300</v>
      </c>
      <c r="AA20" s="111">
        <v>350</v>
      </c>
      <c r="AB20" s="111">
        <v>200</v>
      </c>
      <c r="AC20" s="109">
        <v>49.45</v>
      </c>
      <c r="AD20" s="111">
        <f>Table112345791011[[#This Row],[pho (%)]]*Table112345791011[[#This Row],[b (mm)]]*Table112345791011[[#This Row],[h (mm)]]/100</f>
        <v>1652</v>
      </c>
      <c r="AE20" s="109">
        <v>2.36</v>
      </c>
      <c r="AF20" s="111">
        <v>537</v>
      </c>
      <c r="AG20" s="111">
        <f>(1/3-0.21*(MIN(Table112345791011[[#This Row],[b (mm)]],AA20)/MAX(Table112345791011[[#This Row],[b (mm)]],AA20))*(MIN(Table112345791011[[#This Row],[b (mm)]],AA20)^4/(12*MAX(Table112345791011[[#This Row],[b (mm)]],AA20)^4)))*MAX(Table112345791011[[#This Row],[b (mm)]],AA20)*MIN(Table112345791011[[#This Row],[b (mm)]],AA20)^3</f>
        <v>930347910.59280849</v>
      </c>
      <c r="AH20" s="111">
        <f>Table112345791011[[#This Row],[b (mm)]]*AA20^3/12</f>
        <v>714583333.33333337</v>
      </c>
      <c r="AI20" s="307">
        <f>Table112345791011[[#This Row],[a (mm)]]*2</f>
        <v>3002.2799999999997</v>
      </c>
      <c r="AJ20"/>
      <c r="AK20"/>
      <c r="AL20"/>
      <c r="AM20"/>
      <c r="AN20"/>
      <c r="AO20"/>
      <c r="AP20"/>
      <c r="AQ20"/>
      <c r="AR20"/>
    </row>
    <row r="21" spans="1:44" s="129" customFormat="1" ht="15.75" thickBot="1" x14ac:dyDescent="0.3">
      <c r="A21" s="308" t="s">
        <v>213</v>
      </c>
      <c r="B21" s="299">
        <v>20</v>
      </c>
      <c r="C21" s="299">
        <v>13</v>
      </c>
      <c r="D21" s="299">
        <f>Table112345791011[[#This Row],[a (mm)]]/Table112345791011[[#This Row],[d (mm)]]</f>
        <v>5.0037999999999991</v>
      </c>
      <c r="E21" s="316">
        <v>140</v>
      </c>
      <c r="F21" s="303">
        <f>Table112345791011[[#This Row],[d (mm)]]</f>
        <v>300</v>
      </c>
      <c r="G21" s="111">
        <f t="shared" si="6"/>
        <v>210159.59999999998</v>
      </c>
      <c r="H21" s="111">
        <f t="shared" si="7"/>
        <v>1.1166926780040545E-5</v>
      </c>
      <c r="I21" s="111">
        <f>G21/(Table112345791011[[#This Row],[b (mm)]]*Z21^2)</f>
        <v>1.1675533333333332E-2</v>
      </c>
      <c r="J21" s="111">
        <f t="shared" si="8"/>
        <v>0.78819860122235519</v>
      </c>
      <c r="K21" s="111">
        <f t="shared" si="9"/>
        <v>4.7923993544239536E-6</v>
      </c>
      <c r="L21" s="111">
        <f>E21/(Table112345791011[[#This Row],[b (mm)]]*Z21)</f>
        <v>2.3333333333333335E-3</v>
      </c>
      <c r="M21" s="111">
        <f>Table112345791011[[#This Row],[M (KN.mm)]]/(Table112345791011[[#This Row],[b (mm)]]*Table112345791011[[#This Row],[d (mm)]])</f>
        <v>3.5026599999999997</v>
      </c>
      <c r="N21" s="111">
        <f>Table112345791011[[#This Row],[M (KN.mm)]]/(Table112345791011[[#This Row],[b (mm)]]*Table112345791011[[#This Row],[h (mm)]])</f>
        <v>3.0022799999999998</v>
      </c>
      <c r="O21" s="111">
        <f>Table112345791011[[#This Row],[M (KN.mm)]]/(Table112345791011[[#This Row],[b (mm)]]*Table112345791011[[#This Row],[h (mm)]]*Table112345791011[[#This Row],[L(mm)]])</f>
        <v>1E-3</v>
      </c>
      <c r="P21" s="111">
        <f>Table112345791011[[#This Row],[M (KN.mm)]]/(Table112345791011[[#This Row],[b (mm)]]*Table112345791011[[#This Row],[d (mm)]]*Table112345791011[[#This Row],[L(mm)]])</f>
        <v>1.1666666666666668E-3</v>
      </c>
      <c r="Q21" s="111">
        <f>Table112345791011[[#This Row],[M (KN.mm)]]/(Table112345791011[[#This Row],[b (mm)]]*Table112345791011[[#This Row],[h (mm)]]*Table112345791011[[#This Row],[L(mm)]]*Table112345791011[[#This Row],[fc (Mpa)]])</f>
        <v>2.0222446916076843E-5</v>
      </c>
      <c r="R21" s="111">
        <f>Table112345791011[[#This Row],[M (KN.mm)]]/(Table112345791011[[#This Row],[b (mm)]]*Table112345791011[[#This Row],[h (mm)]]*Table112345791011[[#This Row],[L(mm)]]/2)</f>
        <v>2E-3</v>
      </c>
      <c r="S21" s="111">
        <f>Table112345791011[[#This Row],[M (KN.mm)]]/(Table112345791011[[#This Row],[a (mm)]]*Table112345791011[[#This Row],[b (mm)]]*Table112345791011[[#This Row],[h (mm)]]*Table112345791011[[#This Row],[L(mm)]]/2)</f>
        <v>1.3323207695484763E-6</v>
      </c>
      <c r="T21" s="304">
        <f>G21/($AL$5*AH21*0.001*Table112345791011[[#This Row],[pho (%)]])</f>
        <v>4.731748635610401E-6</v>
      </c>
      <c r="U21" s="111">
        <f>Table112345791011[[#This Row],[M (KN.mm)]]/(Table112345791011[[#This Row],[b (mm)]]*Table112345791011[[#This Row],[d (mm)]]*Table112345791011[[#This Row],[pho (%)]])</f>
        <v>1.4841779661016947</v>
      </c>
      <c r="V21" s="111">
        <f>E21*224.8/(2*SQRT(Table112345791011[[#This Row],[fc (Mpa)]]*145.037)*Table112345791011[[#This Row],[b (mm)]]*Table112345791011[[#This Row],[d (mm)]]*(1/25.4)^2)</f>
        <v>1.9979654678878047</v>
      </c>
      <c r="W21" s="111">
        <f>Table112345791011[[#This Row],[M (KN.mm)]]/$G$22</f>
        <v>0.93333333333333335</v>
      </c>
      <c r="X21" s="111">
        <f t="shared" si="4"/>
        <v>1.9979654678878047</v>
      </c>
      <c r="Y21" s="111">
        <f t="shared" si="5"/>
        <v>1501.1399999999999</v>
      </c>
      <c r="Z21" s="111">
        <v>300</v>
      </c>
      <c r="AA21" s="111">
        <v>350</v>
      </c>
      <c r="AB21" s="111">
        <v>200</v>
      </c>
      <c r="AC21" s="109">
        <v>49.45</v>
      </c>
      <c r="AD21" s="111">
        <f>Table112345791011[[#This Row],[pho (%)]]*Table112345791011[[#This Row],[b (mm)]]*Table112345791011[[#This Row],[h (mm)]]/100</f>
        <v>1652</v>
      </c>
      <c r="AE21" s="109">
        <v>2.36</v>
      </c>
      <c r="AF21" s="111">
        <v>538</v>
      </c>
      <c r="AG21" s="111">
        <f>(1/3-0.21*(MIN(Table112345791011[[#This Row],[b (mm)]],AA21)/MAX(Table112345791011[[#This Row],[b (mm)]],AA21))*(MIN(Table112345791011[[#This Row],[b (mm)]],AA21)^4/(12*MAX(Table112345791011[[#This Row],[b (mm)]],AA21)^4)))*MAX(Table112345791011[[#This Row],[b (mm)]],AA21)*MIN(Table112345791011[[#This Row],[b (mm)]],AA21)^3</f>
        <v>930347910.59280849</v>
      </c>
      <c r="AH21" s="111">
        <f>Table112345791011[[#This Row],[b (mm)]]*AA21^3/12</f>
        <v>714583333.33333337</v>
      </c>
      <c r="AI21" s="307">
        <f>Table112345791011[[#This Row],[a (mm)]]*2</f>
        <v>3002.2799999999997</v>
      </c>
      <c r="AJ21"/>
      <c r="AK21"/>
      <c r="AL21"/>
      <c r="AM21"/>
      <c r="AN21"/>
      <c r="AO21"/>
      <c r="AP21"/>
      <c r="AQ21"/>
      <c r="AR21"/>
    </row>
    <row r="22" spans="1:44" s="129" customFormat="1" ht="16.5" customHeight="1" thickBot="1" x14ac:dyDescent="0.3">
      <c r="A22" s="308" t="s">
        <v>213</v>
      </c>
      <c r="B22" s="299">
        <v>21</v>
      </c>
      <c r="C22" s="299">
        <v>14</v>
      </c>
      <c r="D22" s="299">
        <f>Table112345791011[[#This Row],[a (mm)]]/Table112345791011[[#This Row],[d (mm)]]</f>
        <v>5.0037999999999991</v>
      </c>
      <c r="E22" s="316">
        <v>150</v>
      </c>
      <c r="F22" s="303">
        <f>Table112345791011[[#This Row],[d (mm)]]</f>
        <v>300</v>
      </c>
      <c r="G22" s="111">
        <f t="shared" si="6"/>
        <v>225170.99999999997</v>
      </c>
      <c r="H22" s="111">
        <f t="shared" si="7"/>
        <v>1.1964564407186299E-5</v>
      </c>
      <c r="I22" s="111">
        <f>G22/(Table112345791011[[#This Row],[b (mm)]]*Z22^2)</f>
        <v>1.2509499999999998E-2</v>
      </c>
      <c r="J22" s="111">
        <f t="shared" si="8"/>
        <v>0.84293171373766307</v>
      </c>
      <c r="K22" s="111">
        <f t="shared" si="9"/>
        <v>5.1347135940256652E-6</v>
      </c>
      <c r="L22" s="111">
        <f>E22/(Table112345791011[[#This Row],[b (mm)]]*Z22)</f>
        <v>2.5000000000000001E-3</v>
      </c>
      <c r="M22" s="111">
        <f>Table112345791011[[#This Row],[M (KN.mm)]]/(Table112345791011[[#This Row],[b (mm)]]*Table112345791011[[#This Row],[d (mm)]])</f>
        <v>3.7528499999999996</v>
      </c>
      <c r="N22" s="111">
        <f>Table112345791011[[#This Row],[M (KN.mm)]]/(Table112345791011[[#This Row],[b (mm)]]*Table112345791011[[#This Row],[h (mm)]])</f>
        <v>3.2167285714285709</v>
      </c>
      <c r="O22" s="111">
        <f>Table112345791011[[#This Row],[M (KN.mm)]]/(Table112345791011[[#This Row],[b (mm)]]*Table112345791011[[#This Row],[h (mm)]]*Table112345791011[[#This Row],[L(mm)]])</f>
        <v>1.0714285714285715E-3</v>
      </c>
      <c r="P22" s="111">
        <f>Table112345791011[[#This Row],[M (KN.mm)]]/(Table112345791011[[#This Row],[b (mm)]]*Table112345791011[[#This Row],[d (mm)]]*Table112345791011[[#This Row],[L(mm)]])</f>
        <v>1.25E-3</v>
      </c>
      <c r="Q22" s="111">
        <f>Table112345791011[[#This Row],[M (KN.mm)]]/(Table112345791011[[#This Row],[b (mm)]]*Table112345791011[[#This Row],[h (mm)]]*Table112345791011[[#This Row],[L(mm)]]*Table112345791011[[#This Row],[fc (Mpa)]])</f>
        <v>2.1666907410082331E-5</v>
      </c>
      <c r="R22" s="111">
        <f>Table112345791011[[#This Row],[M (KN.mm)]]/(Table112345791011[[#This Row],[b (mm)]]*Table112345791011[[#This Row],[h (mm)]]*Table112345791011[[#This Row],[L(mm)]]/2)</f>
        <v>2.142857142857143E-3</v>
      </c>
      <c r="S22" s="111">
        <f>Table112345791011[[#This Row],[M (KN.mm)]]/(Table112345791011[[#This Row],[a (mm)]]*Table112345791011[[#This Row],[b (mm)]]*Table112345791011[[#This Row],[h (mm)]]*Table112345791011[[#This Row],[L(mm)]]/2)</f>
        <v>1.427486538801939E-6</v>
      </c>
      <c r="T22" s="304">
        <f>G22/($AL$5*AH22*0.001*Table112345791011[[#This Row],[pho (%)]])</f>
        <v>5.0697306810111441E-6</v>
      </c>
      <c r="U22" s="111">
        <f>Table112345791011[[#This Row],[M (KN.mm)]]/(Table112345791011[[#This Row],[b (mm)]]*Table112345791011[[#This Row],[d (mm)]]*Table112345791011[[#This Row],[pho (%)]])</f>
        <v>1.5901906779661015</v>
      </c>
      <c r="V22" s="111">
        <f>E22*224.8/(2*SQRT(Table112345791011[[#This Row],[fc (Mpa)]]*145.037)*Table112345791011[[#This Row],[b (mm)]]*Table112345791011[[#This Row],[d (mm)]]*(1/25.4)^2)</f>
        <v>2.140677287022648</v>
      </c>
      <c r="W22" s="111">
        <f>Table112345791011[[#This Row],[M (KN.mm)]]/$G$22</f>
        <v>1</v>
      </c>
      <c r="X22" s="111">
        <f t="shared" si="4"/>
        <v>2.140677287022648</v>
      </c>
      <c r="Y22" s="111">
        <f t="shared" si="5"/>
        <v>1501.1399999999999</v>
      </c>
      <c r="Z22" s="111">
        <v>300</v>
      </c>
      <c r="AA22" s="111">
        <v>350</v>
      </c>
      <c r="AB22" s="111">
        <v>200</v>
      </c>
      <c r="AC22" s="109">
        <v>49.45</v>
      </c>
      <c r="AD22" s="111">
        <f>Table112345791011[[#This Row],[pho (%)]]*Table112345791011[[#This Row],[b (mm)]]*Table112345791011[[#This Row],[h (mm)]]/100</f>
        <v>1652</v>
      </c>
      <c r="AE22" s="109">
        <v>2.36</v>
      </c>
      <c r="AF22" s="111">
        <v>539</v>
      </c>
      <c r="AG22" s="111">
        <f>(1/3-0.21*(MIN(Table112345791011[[#This Row],[b (mm)]],AA22)/MAX(Table112345791011[[#This Row],[b (mm)]],AA22))*(MIN(Table112345791011[[#This Row],[b (mm)]],AA22)^4/(12*MAX(Table112345791011[[#This Row],[b (mm)]],AA22)^4)))*MAX(Table112345791011[[#This Row],[b (mm)]],AA22)*MIN(Table112345791011[[#This Row],[b (mm)]],AA22)^3</f>
        <v>930347910.59280849</v>
      </c>
      <c r="AH22" s="111">
        <f>Table112345791011[[#This Row],[b (mm)]]*AA22^3/12</f>
        <v>714583333.33333337</v>
      </c>
      <c r="AI22" s="307">
        <f>Table112345791011[[#This Row],[a (mm)]]*2</f>
        <v>3002.2799999999997</v>
      </c>
      <c r="AJ22"/>
      <c r="AK22"/>
      <c r="AL22"/>
      <c r="AM22"/>
      <c r="AN22"/>
      <c r="AO22"/>
      <c r="AP22"/>
      <c r="AQ22"/>
      <c r="AR22"/>
    </row>
    <row r="23" spans="1:44" s="129" customFormat="1" ht="15.75" thickBot="1" x14ac:dyDescent="0.3">
      <c r="A23" s="309" t="s">
        <v>214</v>
      </c>
      <c r="B23" s="237">
        <v>22</v>
      </c>
      <c r="C23" s="237">
        <v>1</v>
      </c>
      <c r="D23" s="300">
        <f>Table112345791011[[#This Row],[a (mm)]]/Table112345791011[[#This Row],[d (mm)]]</f>
        <v>3</v>
      </c>
      <c r="E23" s="300">
        <v>50</v>
      </c>
      <c r="F23" s="303">
        <f>Table112345791011[[#This Row],[d (mm)]]</f>
        <v>300</v>
      </c>
      <c r="G23" s="111">
        <f t="shared" si="6"/>
        <v>45000</v>
      </c>
      <c r="H23" s="111">
        <f t="shared" si="7"/>
        <v>2.3910956487442143E-6</v>
      </c>
      <c r="I23" s="111">
        <f>G23/(Table112345791011[[#This Row],[b (mm)]]*Z23^2)</f>
        <v>2.5000000000000001E-3</v>
      </c>
      <c r="J23" s="111">
        <f t="shared" si="8"/>
        <v>0.12637751491254676</v>
      </c>
      <c r="K23" s="111">
        <f t="shared" si="9"/>
        <v>1.711571198008555E-6</v>
      </c>
      <c r="L23" s="111">
        <f>E23/(Table112345791011[[#This Row],[b (mm)]]*Z23)</f>
        <v>8.3333333333333339E-4</v>
      </c>
      <c r="M23" s="111">
        <f>Table112345791011[[#This Row],[M (KN.mm)]]/(Table112345791011[[#This Row],[b (mm)]]*Table112345791011[[#This Row],[d (mm)]])</f>
        <v>0.75</v>
      </c>
      <c r="N23" s="111">
        <f>Table112345791011[[#This Row],[M (KN.mm)]]/(Table112345791011[[#This Row],[b (mm)]]*Table112345791011[[#This Row],[h (mm)]])</f>
        <v>0.6428571428571429</v>
      </c>
      <c r="O23" s="111">
        <f>Table112345791011[[#This Row],[M (KN.mm)]]/(Table112345791011[[#This Row],[b (mm)]]*Table112345791011[[#This Row],[h (mm)]]*Table112345791011[[#This Row],[L(mm)]])</f>
        <v>3.5714285714285714E-4</v>
      </c>
      <c r="P23" s="111">
        <f>Table112345791011[[#This Row],[M (KN.mm)]]/(Table112345791011[[#This Row],[b (mm)]]*Table112345791011[[#This Row],[d (mm)]]*Table112345791011[[#This Row],[L(mm)]])</f>
        <v>4.1666666666666669E-4</v>
      </c>
      <c r="Q23" s="111">
        <f>Table112345791011[[#This Row],[M (KN.mm)]]/(Table112345791011[[#This Row],[b (mm)]]*Table112345791011[[#This Row],[h (mm)]]*Table112345791011[[#This Row],[L(mm)]]*Table112345791011[[#This Row],[fc (Mpa)]])</f>
        <v>6.5172054223149112E-6</v>
      </c>
      <c r="R23" s="111">
        <f>Table112345791011[[#This Row],[M (KN.mm)]]/(Table112345791011[[#This Row],[b (mm)]]*Table112345791011[[#This Row],[h (mm)]]*Table112345791011[[#This Row],[L(mm)]]/2)</f>
        <v>7.1428571428571429E-4</v>
      </c>
      <c r="S23" s="111">
        <f>Table112345791011[[#This Row],[M (KN.mm)]]/(Table112345791011[[#This Row],[a (mm)]]*Table112345791011[[#This Row],[b (mm)]]*Table112345791011[[#This Row],[h (mm)]]*Table112345791011[[#This Row],[L(mm)]]/2)</f>
        <v>7.9365079365079366E-7</v>
      </c>
      <c r="T23" s="304">
        <f>G23/($AL$5*AH23*0.001*Table112345791011[[#This Row],[pho (%)]])</f>
        <v>7.6149542953637395E-7</v>
      </c>
      <c r="U23" s="111">
        <f>Table112345791011[[#This Row],[M (KN.mm)]]/(Table112345791011[[#This Row],[b (mm)]]*Table112345791011[[#This Row],[d (mm)]]*Table112345791011[[#This Row],[pho (%)]])</f>
        <v>0.23885350318471338</v>
      </c>
      <c r="V23" s="111">
        <f>E23*224.8/(2*SQRT(Table112345791011[[#This Row],[fc (Mpa)]]*145.037)*Table112345791011[[#This Row],[b (mm)]]*Table112345791011[[#This Row],[d (mm)]]*(1/25.4)^2)</f>
        <v>0.67783316652992498</v>
      </c>
      <c r="W23" s="111">
        <f>Table112345791011[[#This Row],[M (KN.mm)]]/$G$29</f>
        <v>0.29585798816568049</v>
      </c>
      <c r="X23" s="111">
        <f t="shared" si="4"/>
        <v>0.67783316652992498</v>
      </c>
      <c r="Y23" s="109">
        <f>3*Table112345791011[[#This Row],[d (mm)]]</f>
        <v>900</v>
      </c>
      <c r="Z23" s="111">
        <v>300</v>
      </c>
      <c r="AA23" s="111">
        <v>350</v>
      </c>
      <c r="AB23" s="111">
        <v>200</v>
      </c>
      <c r="AC23" s="109">
        <v>54.8</v>
      </c>
      <c r="AD23" s="111">
        <f>Table112345791011[[#This Row],[pho (%)]]*Table112345791011[[#This Row],[b (mm)]]*Table112345791011[[#This Row],[h (mm)]]/100</f>
        <v>2198</v>
      </c>
      <c r="AE23" s="109">
        <v>3.14</v>
      </c>
      <c r="AF23" s="111">
        <v>540</v>
      </c>
      <c r="AG23" s="111">
        <f>(1/3-0.21*(MIN(Table112345791011[[#This Row],[b (mm)]],AA23)/MAX(Table112345791011[[#This Row],[b (mm)]],AA23))*(MIN(Table112345791011[[#This Row],[b (mm)]],AA23)^4/(12*MAX(Table112345791011[[#This Row],[b (mm)]],AA23)^4)))*MAX(Table112345791011[[#This Row],[b (mm)]],AA23)*MIN(Table112345791011[[#This Row],[b (mm)]],AA23)^3</f>
        <v>930347910.59280849</v>
      </c>
      <c r="AH23" s="111">
        <f>Table112345791011[[#This Row],[b (mm)]]*AA23^3/12</f>
        <v>714583333.33333337</v>
      </c>
      <c r="AI23" s="307">
        <f>Table112345791011[[#This Row],[a (mm)]]*2</f>
        <v>1800</v>
      </c>
      <c r="AJ23"/>
      <c r="AK23"/>
      <c r="AL23"/>
      <c r="AM23"/>
      <c r="AN23"/>
      <c r="AO23"/>
      <c r="AP23"/>
      <c r="AQ23"/>
      <c r="AR23"/>
    </row>
    <row r="24" spans="1:44" s="129" customFormat="1" ht="15.75" thickBot="1" x14ac:dyDescent="0.3">
      <c r="A24" s="309" t="s">
        <v>214</v>
      </c>
      <c r="B24" s="237">
        <v>23</v>
      </c>
      <c r="C24" s="237">
        <v>2</v>
      </c>
      <c r="D24" s="300">
        <f>Table112345791011[[#This Row],[a (mm)]]/Table112345791011[[#This Row],[d (mm)]]</f>
        <v>3</v>
      </c>
      <c r="E24" s="300">
        <v>70</v>
      </c>
      <c r="F24" s="303">
        <f>Table112345791011[[#This Row],[d (mm)]]</f>
        <v>300</v>
      </c>
      <c r="G24" s="111">
        <f t="shared" si="6"/>
        <v>63000</v>
      </c>
      <c r="H24" s="111">
        <f t="shared" si="7"/>
        <v>3.3475339082419002E-6</v>
      </c>
      <c r="I24" s="111">
        <f>G24/(Table112345791011[[#This Row],[b (mm)]]*Z24^2)</f>
        <v>3.5000000000000001E-3</v>
      </c>
      <c r="J24" s="111">
        <f t="shared" si="8"/>
        <v>0.17660148109775481</v>
      </c>
      <c r="K24" s="111">
        <f t="shared" si="9"/>
        <v>2.3961996772119768E-6</v>
      </c>
      <c r="L24" s="111">
        <f>E24/(Table112345791011[[#This Row],[b (mm)]]*Z24)</f>
        <v>1.1666666666666668E-3</v>
      </c>
      <c r="M24" s="111">
        <f>Table112345791011[[#This Row],[M (KN.mm)]]/(Table112345791011[[#This Row],[b (mm)]]*Table112345791011[[#This Row],[d (mm)]])</f>
        <v>1.05</v>
      </c>
      <c r="N24" s="111">
        <f>Table112345791011[[#This Row],[M (KN.mm)]]/(Table112345791011[[#This Row],[b (mm)]]*Table112345791011[[#This Row],[h (mm)]])</f>
        <v>0.9</v>
      </c>
      <c r="O24" s="111">
        <f>Table112345791011[[#This Row],[M (KN.mm)]]/(Table112345791011[[#This Row],[b (mm)]]*Table112345791011[[#This Row],[h (mm)]]*Table112345791011[[#This Row],[L(mm)]])</f>
        <v>5.0000000000000001E-4</v>
      </c>
      <c r="P24" s="111">
        <f>Table112345791011[[#This Row],[M (KN.mm)]]/(Table112345791011[[#This Row],[b (mm)]]*Table112345791011[[#This Row],[d (mm)]]*Table112345791011[[#This Row],[L(mm)]])</f>
        <v>5.8333333333333338E-4</v>
      </c>
      <c r="Q24" s="111">
        <f>Table112345791011[[#This Row],[M (KN.mm)]]/(Table112345791011[[#This Row],[b (mm)]]*Table112345791011[[#This Row],[h (mm)]]*Table112345791011[[#This Row],[L(mm)]]*Table112345791011[[#This Row],[fc (Mpa)]])</f>
        <v>9.1240875912408767E-6</v>
      </c>
      <c r="R24" s="111">
        <f>Table112345791011[[#This Row],[M (KN.mm)]]/(Table112345791011[[#This Row],[b (mm)]]*Table112345791011[[#This Row],[h (mm)]]*Table112345791011[[#This Row],[L(mm)]]/2)</f>
        <v>1E-3</v>
      </c>
      <c r="S24" s="111">
        <f>Table112345791011[[#This Row],[M (KN.mm)]]/(Table112345791011[[#This Row],[a (mm)]]*Table112345791011[[#This Row],[b (mm)]]*Table112345791011[[#This Row],[h (mm)]]*Table112345791011[[#This Row],[L(mm)]]/2)</f>
        <v>1.111111111111111E-6</v>
      </c>
      <c r="T24" s="304">
        <f>G24/($AL$5*AH24*0.001*Table112345791011[[#This Row],[pho (%)]])</f>
        <v>1.0660936013509237E-6</v>
      </c>
      <c r="U24" s="111">
        <f>Table112345791011[[#This Row],[M (KN.mm)]]/(Table112345791011[[#This Row],[b (mm)]]*Table112345791011[[#This Row],[d (mm)]]*Table112345791011[[#This Row],[pho (%)]])</f>
        <v>0.33439490445859871</v>
      </c>
      <c r="V24" s="111">
        <f>E24*224.8/(2*SQRT(Table112345791011[[#This Row],[fc (Mpa)]]*145.037)*Table112345791011[[#This Row],[b (mm)]]*Table112345791011[[#This Row],[d (mm)]]*(1/25.4)^2)</f>
        <v>0.94896643314189499</v>
      </c>
      <c r="W24" s="111">
        <f>Table112345791011[[#This Row],[M (KN.mm)]]/$G$29</f>
        <v>0.41420118343195267</v>
      </c>
      <c r="X24" s="111">
        <f t="shared" si="4"/>
        <v>0.94896643314189499</v>
      </c>
      <c r="Y24" s="109">
        <f>3*Table112345791011[[#This Row],[d (mm)]]</f>
        <v>900</v>
      </c>
      <c r="Z24" s="111">
        <v>300</v>
      </c>
      <c r="AA24" s="111">
        <v>350</v>
      </c>
      <c r="AB24" s="111">
        <v>200</v>
      </c>
      <c r="AC24" s="109">
        <v>54.8</v>
      </c>
      <c r="AD24" s="111">
        <f>Table112345791011[[#This Row],[pho (%)]]*Table112345791011[[#This Row],[b (mm)]]*Table112345791011[[#This Row],[h (mm)]]/100</f>
        <v>2198</v>
      </c>
      <c r="AE24" s="109">
        <v>3.14</v>
      </c>
      <c r="AF24" s="111">
        <v>541</v>
      </c>
      <c r="AG24" s="111">
        <f>(1/3-0.21*(MIN(Table112345791011[[#This Row],[b (mm)]],AA24)/MAX(Table112345791011[[#This Row],[b (mm)]],AA24))*(MIN(Table112345791011[[#This Row],[b (mm)]],AA24)^4/(12*MAX(Table112345791011[[#This Row],[b (mm)]],AA24)^4)))*MAX(Table112345791011[[#This Row],[b (mm)]],AA24)*MIN(Table112345791011[[#This Row],[b (mm)]],AA24)^3</f>
        <v>930347910.59280849</v>
      </c>
      <c r="AH24" s="111">
        <f>Table112345791011[[#This Row],[b (mm)]]*AA24^3/12</f>
        <v>714583333.33333337</v>
      </c>
      <c r="AI24" s="307">
        <f>Table112345791011[[#This Row],[a (mm)]]*2</f>
        <v>1800</v>
      </c>
      <c r="AJ24"/>
      <c r="AK24"/>
      <c r="AL24"/>
      <c r="AM24"/>
      <c r="AN24"/>
      <c r="AO24"/>
      <c r="AP24"/>
      <c r="AQ24"/>
      <c r="AR24"/>
    </row>
    <row r="25" spans="1:44" s="129" customFormat="1" ht="15.75" thickBot="1" x14ac:dyDescent="0.3">
      <c r="A25" s="309" t="s">
        <v>214</v>
      </c>
      <c r="B25" s="237">
        <v>24</v>
      </c>
      <c r="C25" s="237">
        <v>3</v>
      </c>
      <c r="D25" s="300">
        <f>Table112345791011[[#This Row],[a (mm)]]/Table112345791011[[#This Row],[d (mm)]]</f>
        <v>3</v>
      </c>
      <c r="E25" s="300">
        <v>90</v>
      </c>
      <c r="F25" s="303">
        <f>Table112345791011[[#This Row],[d (mm)]]</f>
        <v>300</v>
      </c>
      <c r="G25" s="111">
        <f t="shared" si="6"/>
        <v>81000</v>
      </c>
      <c r="H25" s="111">
        <f t="shared" si="7"/>
        <v>4.3039721677395861E-6</v>
      </c>
      <c r="I25" s="111">
        <f>G25/(Table112345791011[[#This Row],[b (mm)]]*Z25^2)</f>
        <v>4.4999999999999997E-3</v>
      </c>
      <c r="J25" s="111">
        <f t="shared" si="8"/>
        <v>0.22664011899445655</v>
      </c>
      <c r="K25" s="111">
        <f t="shared" si="9"/>
        <v>3.0808281564153988E-6</v>
      </c>
      <c r="L25" s="111">
        <f>E25/(Table112345791011[[#This Row],[b (mm)]]*Z25)</f>
        <v>1.5E-3</v>
      </c>
      <c r="M25" s="111">
        <f>Table112345791011[[#This Row],[M (KN.mm)]]/(Table112345791011[[#This Row],[b (mm)]]*Table112345791011[[#This Row],[d (mm)]])</f>
        <v>1.35</v>
      </c>
      <c r="N25" s="111">
        <f>Table112345791011[[#This Row],[M (KN.mm)]]/(Table112345791011[[#This Row],[b (mm)]]*Table112345791011[[#This Row],[h (mm)]])</f>
        <v>1.1571428571428573</v>
      </c>
      <c r="O25" s="111">
        <f>Table112345791011[[#This Row],[M (KN.mm)]]/(Table112345791011[[#This Row],[b (mm)]]*Table112345791011[[#This Row],[h (mm)]]*Table112345791011[[#This Row],[L(mm)]])</f>
        <v>6.4285714285714282E-4</v>
      </c>
      <c r="P25" s="111">
        <f>Table112345791011[[#This Row],[M (KN.mm)]]/(Table112345791011[[#This Row],[b (mm)]]*Table112345791011[[#This Row],[d (mm)]]*Table112345791011[[#This Row],[L(mm)]])</f>
        <v>7.5000000000000002E-4</v>
      </c>
      <c r="Q25" s="111">
        <f>Table112345791011[[#This Row],[M (KN.mm)]]/(Table112345791011[[#This Row],[b (mm)]]*Table112345791011[[#This Row],[h (mm)]]*Table112345791011[[#This Row],[L(mm)]]*Table112345791011[[#This Row],[fc (Mpa)]])</f>
        <v>1.173096976016684E-5</v>
      </c>
      <c r="R25" s="111">
        <f>Table112345791011[[#This Row],[M (KN.mm)]]/(Table112345791011[[#This Row],[b (mm)]]*Table112345791011[[#This Row],[h (mm)]]*Table112345791011[[#This Row],[L(mm)]]/2)</f>
        <v>1.2857142857142856E-3</v>
      </c>
      <c r="S25" s="111">
        <f>Table112345791011[[#This Row],[M (KN.mm)]]/(Table112345791011[[#This Row],[a (mm)]]*Table112345791011[[#This Row],[b (mm)]]*Table112345791011[[#This Row],[h (mm)]]*Table112345791011[[#This Row],[L(mm)]]/2)</f>
        <v>1.4285714285714286E-6</v>
      </c>
      <c r="T25" s="304">
        <f>G25/($AL$5*AH25*0.001*Table112345791011[[#This Row],[pho (%)]])</f>
        <v>1.3706917731654732E-6</v>
      </c>
      <c r="U25" s="111">
        <f>Table112345791011[[#This Row],[M (KN.mm)]]/(Table112345791011[[#This Row],[b (mm)]]*Table112345791011[[#This Row],[d (mm)]]*Table112345791011[[#This Row],[pho (%)]])</f>
        <v>0.42993630573248409</v>
      </c>
      <c r="V25" s="111">
        <f>E25*224.8/(2*SQRT(Table112345791011[[#This Row],[fc (Mpa)]]*145.037)*Table112345791011[[#This Row],[b (mm)]]*Table112345791011[[#This Row],[d (mm)]]*(1/25.4)^2)</f>
        <v>1.2200996997538649</v>
      </c>
      <c r="W25" s="111">
        <f>Table112345791011[[#This Row],[M (KN.mm)]]/$G$29</f>
        <v>0.53254437869822491</v>
      </c>
      <c r="X25" s="111">
        <f t="shared" si="4"/>
        <v>1.2200996997538649</v>
      </c>
      <c r="Y25" s="109">
        <f>3*Table112345791011[[#This Row],[d (mm)]]</f>
        <v>900</v>
      </c>
      <c r="Z25" s="111">
        <v>300</v>
      </c>
      <c r="AA25" s="111">
        <v>350</v>
      </c>
      <c r="AB25" s="111">
        <v>200</v>
      </c>
      <c r="AC25" s="109">
        <v>54.8</v>
      </c>
      <c r="AD25" s="111">
        <f>Table112345791011[[#This Row],[pho (%)]]*Table112345791011[[#This Row],[b (mm)]]*Table112345791011[[#This Row],[h (mm)]]/100</f>
        <v>2198</v>
      </c>
      <c r="AE25" s="109">
        <v>3.14</v>
      </c>
      <c r="AF25" s="111">
        <v>542</v>
      </c>
      <c r="AG25" s="111">
        <f>(1/3-0.21*(MIN(Table112345791011[[#This Row],[b (mm)]],AA25)/MAX(Table112345791011[[#This Row],[b (mm)]],AA25))*(MIN(Table112345791011[[#This Row],[b (mm)]],AA25)^4/(12*MAX(Table112345791011[[#This Row],[b (mm)]],AA25)^4)))*MAX(Table112345791011[[#This Row],[b (mm)]],AA25)*MIN(Table112345791011[[#This Row],[b (mm)]],AA25)^3</f>
        <v>930347910.59280849</v>
      </c>
      <c r="AH25" s="111">
        <f>Table112345791011[[#This Row],[b (mm)]]*AA25^3/12</f>
        <v>714583333.33333337</v>
      </c>
      <c r="AI25" s="307">
        <f>Table112345791011[[#This Row],[a (mm)]]*2</f>
        <v>1800</v>
      </c>
      <c r="AJ25"/>
      <c r="AK25"/>
      <c r="AL25"/>
      <c r="AM25"/>
      <c r="AN25"/>
      <c r="AO25"/>
      <c r="AP25"/>
      <c r="AQ25"/>
      <c r="AR25"/>
    </row>
    <row r="26" spans="1:44" s="129" customFormat="1" ht="15.75" thickBot="1" x14ac:dyDescent="0.3">
      <c r="A26" s="309" t="s">
        <v>214</v>
      </c>
      <c r="B26" s="237">
        <v>25</v>
      </c>
      <c r="C26" s="237">
        <v>4</v>
      </c>
      <c r="D26" s="300">
        <f>Table112345791011[[#This Row],[a (mm)]]/Table112345791011[[#This Row],[d (mm)]]</f>
        <v>3</v>
      </c>
      <c r="E26" s="300">
        <v>110</v>
      </c>
      <c r="F26" s="303">
        <f>Table112345791011[[#This Row],[d (mm)]]</f>
        <v>300</v>
      </c>
      <c r="G26" s="111">
        <f t="shared" si="6"/>
        <v>99000</v>
      </c>
      <c r="H26" s="111">
        <f t="shared" si="7"/>
        <v>5.260410427237272E-6</v>
      </c>
      <c r="I26" s="111">
        <f>G26/(Table112345791011[[#This Row],[b (mm)]]*Z26^2)</f>
        <v>5.4999999999999997E-3</v>
      </c>
      <c r="J26" s="111">
        <f t="shared" si="8"/>
        <v>0.27649445251584814</v>
      </c>
      <c r="K26" s="111">
        <f t="shared" si="9"/>
        <v>3.7654566356188208E-6</v>
      </c>
      <c r="L26" s="111">
        <f>E26/(Table112345791011[[#This Row],[b (mm)]]*Z26)</f>
        <v>1.8333333333333333E-3</v>
      </c>
      <c r="M26" s="111">
        <f>Table112345791011[[#This Row],[M (KN.mm)]]/(Table112345791011[[#This Row],[b (mm)]]*Table112345791011[[#This Row],[d (mm)]])</f>
        <v>1.65</v>
      </c>
      <c r="N26" s="111">
        <f>Table112345791011[[#This Row],[M (KN.mm)]]/(Table112345791011[[#This Row],[b (mm)]]*Table112345791011[[#This Row],[h (mm)]])</f>
        <v>1.4142857142857144</v>
      </c>
      <c r="O26" s="111">
        <f>Table112345791011[[#This Row],[M (KN.mm)]]/(Table112345791011[[#This Row],[b (mm)]]*Table112345791011[[#This Row],[h (mm)]]*Table112345791011[[#This Row],[L(mm)]])</f>
        <v>7.8571428571428575E-4</v>
      </c>
      <c r="P26" s="111">
        <f>Table112345791011[[#This Row],[M (KN.mm)]]/(Table112345791011[[#This Row],[b (mm)]]*Table112345791011[[#This Row],[d (mm)]]*Table112345791011[[#This Row],[L(mm)]])</f>
        <v>9.1666666666666665E-4</v>
      </c>
      <c r="Q26" s="111">
        <f>Table112345791011[[#This Row],[M (KN.mm)]]/(Table112345791011[[#This Row],[b (mm)]]*Table112345791011[[#This Row],[h (mm)]]*Table112345791011[[#This Row],[L(mm)]]*Table112345791011[[#This Row],[fc (Mpa)]])</f>
        <v>1.4337851929092804E-5</v>
      </c>
      <c r="R26" s="111">
        <f>Table112345791011[[#This Row],[M (KN.mm)]]/(Table112345791011[[#This Row],[b (mm)]]*Table112345791011[[#This Row],[h (mm)]]*Table112345791011[[#This Row],[L(mm)]]/2)</f>
        <v>1.5714285714285715E-3</v>
      </c>
      <c r="S26" s="111">
        <f>Table112345791011[[#This Row],[M (KN.mm)]]/(Table112345791011[[#This Row],[a (mm)]]*Table112345791011[[#This Row],[b (mm)]]*Table112345791011[[#This Row],[h (mm)]]*Table112345791011[[#This Row],[L(mm)]]/2)</f>
        <v>1.746031746031746E-6</v>
      </c>
      <c r="T26" s="304">
        <f>G26/($AL$5*AH26*0.001*Table112345791011[[#This Row],[pho (%)]])</f>
        <v>1.6752899449800229E-6</v>
      </c>
      <c r="U26" s="111">
        <f>Table112345791011[[#This Row],[M (KN.mm)]]/(Table112345791011[[#This Row],[b (mm)]]*Table112345791011[[#This Row],[d (mm)]]*Table112345791011[[#This Row],[pho (%)]])</f>
        <v>0.52547770700636942</v>
      </c>
      <c r="V26" s="111">
        <f>E26*224.8/(2*SQRT(Table112345791011[[#This Row],[fc (Mpa)]]*145.037)*Table112345791011[[#This Row],[b (mm)]]*Table112345791011[[#This Row],[d (mm)]]*(1/25.4)^2)</f>
        <v>1.491232966365835</v>
      </c>
      <c r="W26" s="111">
        <f>Table112345791011[[#This Row],[M (KN.mm)]]/$G$29</f>
        <v>0.65088757396449703</v>
      </c>
      <c r="X26" s="111">
        <f t="shared" si="4"/>
        <v>1.491232966365835</v>
      </c>
      <c r="Y26" s="109">
        <f>3*Table112345791011[[#This Row],[d (mm)]]</f>
        <v>900</v>
      </c>
      <c r="Z26" s="111">
        <v>300</v>
      </c>
      <c r="AA26" s="111">
        <v>350</v>
      </c>
      <c r="AB26" s="111">
        <v>200</v>
      </c>
      <c r="AC26" s="109">
        <v>54.8</v>
      </c>
      <c r="AD26" s="111">
        <f>Table112345791011[[#This Row],[pho (%)]]*Table112345791011[[#This Row],[b (mm)]]*Table112345791011[[#This Row],[h (mm)]]/100</f>
        <v>2198</v>
      </c>
      <c r="AE26" s="109">
        <v>3.14</v>
      </c>
      <c r="AF26" s="111">
        <v>543</v>
      </c>
      <c r="AG26" s="111">
        <f>(1/3-0.21*(MIN(Table112345791011[[#This Row],[b (mm)]],AA26)/MAX(Table112345791011[[#This Row],[b (mm)]],AA26))*(MIN(Table112345791011[[#This Row],[b (mm)]],AA26)^4/(12*MAX(Table112345791011[[#This Row],[b (mm)]],AA26)^4)))*MAX(Table112345791011[[#This Row],[b (mm)]],AA26)*MIN(Table112345791011[[#This Row],[b (mm)]],AA26)^3</f>
        <v>930347910.59280849</v>
      </c>
      <c r="AH26" s="111">
        <f>Table112345791011[[#This Row],[b (mm)]]*AA26^3/12</f>
        <v>714583333.33333337</v>
      </c>
      <c r="AI26" s="307">
        <f>Table112345791011[[#This Row],[a (mm)]]*2</f>
        <v>1800</v>
      </c>
      <c r="AJ26"/>
      <c r="AK26"/>
      <c r="AL26"/>
      <c r="AM26"/>
      <c r="AN26"/>
      <c r="AO26"/>
      <c r="AP26"/>
      <c r="AQ26"/>
      <c r="AR26"/>
    </row>
    <row r="27" spans="1:44" s="129" customFormat="1" ht="15.75" thickBot="1" x14ac:dyDescent="0.3">
      <c r="A27" s="309" t="s">
        <v>214</v>
      </c>
      <c r="B27" s="237">
        <v>26</v>
      </c>
      <c r="C27" s="237">
        <v>5</v>
      </c>
      <c r="D27" s="300">
        <f>Table112345791011[[#This Row],[a (mm)]]/Table112345791011[[#This Row],[d (mm)]]</f>
        <v>3</v>
      </c>
      <c r="E27" s="300">
        <v>130</v>
      </c>
      <c r="F27" s="303">
        <f>Table112345791011[[#This Row],[d (mm)]]</f>
        <v>300</v>
      </c>
      <c r="G27" s="111">
        <f t="shared" si="6"/>
        <v>117000</v>
      </c>
      <c r="H27" s="111">
        <f t="shared" si="7"/>
        <v>6.2168486867349579E-6</v>
      </c>
      <c r="I27" s="111">
        <f>G27/(Table112345791011[[#This Row],[b (mm)]]*Z27^2)</f>
        <v>6.4999999999999997E-3</v>
      </c>
      <c r="J27" s="111">
        <f t="shared" si="8"/>
        <v>0.32616549804635225</v>
      </c>
      <c r="K27" s="111">
        <f t="shared" si="9"/>
        <v>4.4500851148222428E-6</v>
      </c>
      <c r="L27" s="111">
        <f>E27/(Table112345791011[[#This Row],[b (mm)]]*Z27)</f>
        <v>2.1666666666666666E-3</v>
      </c>
      <c r="M27" s="111">
        <f>Table112345791011[[#This Row],[M (KN.mm)]]/(Table112345791011[[#This Row],[b (mm)]]*Table112345791011[[#This Row],[d (mm)]])</f>
        <v>1.95</v>
      </c>
      <c r="N27" s="111">
        <f>Table112345791011[[#This Row],[M (KN.mm)]]/(Table112345791011[[#This Row],[b (mm)]]*Table112345791011[[#This Row],[h (mm)]])</f>
        <v>1.6714285714285715</v>
      </c>
      <c r="O27" s="111">
        <f>Table112345791011[[#This Row],[M (KN.mm)]]/(Table112345791011[[#This Row],[b (mm)]]*Table112345791011[[#This Row],[h (mm)]]*Table112345791011[[#This Row],[L(mm)]])</f>
        <v>9.2857142857142856E-4</v>
      </c>
      <c r="P27" s="111">
        <f>Table112345791011[[#This Row],[M (KN.mm)]]/(Table112345791011[[#This Row],[b (mm)]]*Table112345791011[[#This Row],[d (mm)]]*Table112345791011[[#This Row],[L(mm)]])</f>
        <v>1.0833333333333333E-3</v>
      </c>
      <c r="Q27" s="111">
        <f>Table112345791011[[#This Row],[M (KN.mm)]]/(Table112345791011[[#This Row],[b (mm)]]*Table112345791011[[#This Row],[h (mm)]]*Table112345791011[[#This Row],[L(mm)]]*Table112345791011[[#This Row],[fc (Mpa)]])</f>
        <v>1.6944734098018768E-5</v>
      </c>
      <c r="R27" s="111">
        <f>Table112345791011[[#This Row],[M (KN.mm)]]/(Table112345791011[[#This Row],[b (mm)]]*Table112345791011[[#This Row],[h (mm)]]*Table112345791011[[#This Row],[L(mm)]]/2)</f>
        <v>1.8571428571428571E-3</v>
      </c>
      <c r="S27" s="111">
        <f>Table112345791011[[#This Row],[M (KN.mm)]]/(Table112345791011[[#This Row],[a (mm)]]*Table112345791011[[#This Row],[b (mm)]]*Table112345791011[[#This Row],[h (mm)]]*Table112345791011[[#This Row],[L(mm)]]/2)</f>
        <v>2.0634920634920634E-6</v>
      </c>
      <c r="T27" s="304">
        <f>G27/($AL$5*AH27*0.001*Table112345791011[[#This Row],[pho (%)]])</f>
        <v>1.9798881167945724E-6</v>
      </c>
      <c r="U27" s="111">
        <f>Table112345791011[[#This Row],[M (KN.mm)]]/(Table112345791011[[#This Row],[b (mm)]]*Table112345791011[[#This Row],[d (mm)]]*Table112345791011[[#This Row],[pho (%)]])</f>
        <v>0.62101910828025475</v>
      </c>
      <c r="V27" s="111">
        <f>E27*224.8/(2*SQRT(Table112345791011[[#This Row],[fc (Mpa)]]*145.037)*Table112345791011[[#This Row],[b (mm)]]*Table112345791011[[#This Row],[d (mm)]]*(1/25.4)^2)</f>
        <v>1.7623662329778049</v>
      </c>
      <c r="W27" s="111">
        <f>Table112345791011[[#This Row],[M (KN.mm)]]/$G$29</f>
        <v>0.76923076923076927</v>
      </c>
      <c r="X27" s="111">
        <f t="shared" si="4"/>
        <v>1.7623662329778049</v>
      </c>
      <c r="Y27" s="109">
        <f>3*Table112345791011[[#This Row],[d (mm)]]</f>
        <v>900</v>
      </c>
      <c r="Z27" s="111">
        <v>300</v>
      </c>
      <c r="AA27" s="111">
        <v>350</v>
      </c>
      <c r="AB27" s="111">
        <v>200</v>
      </c>
      <c r="AC27" s="109">
        <v>54.8</v>
      </c>
      <c r="AD27" s="111">
        <f>Table112345791011[[#This Row],[pho (%)]]*Table112345791011[[#This Row],[b (mm)]]*Table112345791011[[#This Row],[h (mm)]]/100</f>
        <v>2198</v>
      </c>
      <c r="AE27" s="109">
        <v>3.14</v>
      </c>
      <c r="AF27" s="111">
        <v>544</v>
      </c>
      <c r="AG27" s="111">
        <f>(1/3-0.21*(MIN(Table112345791011[[#This Row],[b (mm)]],AA27)/MAX(Table112345791011[[#This Row],[b (mm)]],AA27))*(MIN(Table112345791011[[#This Row],[b (mm)]],AA27)^4/(12*MAX(Table112345791011[[#This Row],[b (mm)]],AA27)^4)))*MAX(Table112345791011[[#This Row],[b (mm)]],AA27)*MIN(Table112345791011[[#This Row],[b (mm)]],AA27)^3</f>
        <v>930347910.59280849</v>
      </c>
      <c r="AH27" s="111">
        <f>Table112345791011[[#This Row],[b (mm)]]*AA27^3/12</f>
        <v>714583333.33333337</v>
      </c>
      <c r="AI27" s="307">
        <f>Table112345791011[[#This Row],[a (mm)]]*2</f>
        <v>1800</v>
      </c>
      <c r="AJ27"/>
      <c r="AK27"/>
      <c r="AL27"/>
      <c r="AM27"/>
      <c r="AN27"/>
      <c r="AO27"/>
      <c r="AP27"/>
      <c r="AQ27"/>
      <c r="AR27"/>
    </row>
    <row r="28" spans="1:44" s="129" customFormat="1" ht="15.75" thickBot="1" x14ac:dyDescent="0.3">
      <c r="A28" s="309" t="s">
        <v>214</v>
      </c>
      <c r="B28" s="237">
        <v>27</v>
      </c>
      <c r="C28" s="237">
        <v>6</v>
      </c>
      <c r="D28" s="300">
        <f>Table112345791011[[#This Row],[a (mm)]]/Table112345791011[[#This Row],[d (mm)]]</f>
        <v>3</v>
      </c>
      <c r="E28" s="300">
        <v>150</v>
      </c>
      <c r="F28" s="303">
        <f>Table112345791011[[#This Row],[d (mm)]]</f>
        <v>300</v>
      </c>
      <c r="G28" s="111">
        <f t="shared" si="6"/>
        <v>135000</v>
      </c>
      <c r="H28" s="111">
        <f t="shared" si="7"/>
        <v>7.173286946232643E-6</v>
      </c>
      <c r="I28" s="111">
        <f>G28/(Table112345791011[[#This Row],[b (mm)]]*Z28^2)</f>
        <v>7.4999999999999997E-3</v>
      </c>
      <c r="J28" s="111">
        <f t="shared" si="8"/>
        <v>0.37565426451068945</v>
      </c>
      <c r="K28" s="111">
        <f t="shared" si="9"/>
        <v>5.1347135940256652E-6</v>
      </c>
      <c r="L28" s="111">
        <f>E28/(Table112345791011[[#This Row],[b (mm)]]*Z28)</f>
        <v>2.5000000000000001E-3</v>
      </c>
      <c r="M28" s="111">
        <f>Table112345791011[[#This Row],[M (KN.mm)]]/(Table112345791011[[#This Row],[b (mm)]]*Table112345791011[[#This Row],[d (mm)]])</f>
        <v>2.25</v>
      </c>
      <c r="N28" s="111">
        <f>Table112345791011[[#This Row],[M (KN.mm)]]/(Table112345791011[[#This Row],[b (mm)]]*Table112345791011[[#This Row],[h (mm)]])</f>
        <v>1.9285714285714286</v>
      </c>
      <c r="O28" s="111">
        <f>Table112345791011[[#This Row],[M (KN.mm)]]/(Table112345791011[[#This Row],[b (mm)]]*Table112345791011[[#This Row],[h (mm)]]*Table112345791011[[#This Row],[L(mm)]])</f>
        <v>1.0714285714285715E-3</v>
      </c>
      <c r="P28" s="111">
        <f>Table112345791011[[#This Row],[M (KN.mm)]]/(Table112345791011[[#This Row],[b (mm)]]*Table112345791011[[#This Row],[d (mm)]]*Table112345791011[[#This Row],[L(mm)]])</f>
        <v>1.25E-3</v>
      </c>
      <c r="Q28" s="111">
        <f>Table112345791011[[#This Row],[M (KN.mm)]]/(Table112345791011[[#This Row],[b (mm)]]*Table112345791011[[#This Row],[h (mm)]]*Table112345791011[[#This Row],[L(mm)]]*Table112345791011[[#This Row],[fc (Mpa)]])</f>
        <v>1.9551616266944735E-5</v>
      </c>
      <c r="R28" s="111">
        <f>Table112345791011[[#This Row],[M (KN.mm)]]/(Table112345791011[[#This Row],[b (mm)]]*Table112345791011[[#This Row],[h (mm)]]*Table112345791011[[#This Row],[L(mm)]]/2)</f>
        <v>2.142857142857143E-3</v>
      </c>
      <c r="S28" s="111">
        <f>Table112345791011[[#This Row],[M (KN.mm)]]/(Table112345791011[[#This Row],[a (mm)]]*Table112345791011[[#This Row],[b (mm)]]*Table112345791011[[#This Row],[h (mm)]]*Table112345791011[[#This Row],[L(mm)]]/2)</f>
        <v>2.3809523809523808E-6</v>
      </c>
      <c r="T28" s="304">
        <f>G28/($AL$5*AH28*0.001*Table112345791011[[#This Row],[pho (%)]])</f>
        <v>2.2844862886091219E-6</v>
      </c>
      <c r="U28" s="111">
        <f>Table112345791011[[#This Row],[M (KN.mm)]]/(Table112345791011[[#This Row],[b (mm)]]*Table112345791011[[#This Row],[d (mm)]]*Table112345791011[[#This Row],[pho (%)]])</f>
        <v>0.71656050955414008</v>
      </c>
      <c r="V28" s="111">
        <f>E28*224.8/(2*SQRT(Table112345791011[[#This Row],[fc (Mpa)]]*145.037)*Table112345791011[[#This Row],[b (mm)]]*Table112345791011[[#This Row],[d (mm)]]*(1/25.4)^2)</f>
        <v>2.0334994995897748</v>
      </c>
      <c r="W28" s="111">
        <f>Table112345791011[[#This Row],[M (KN.mm)]]/$G$29</f>
        <v>0.8875739644970414</v>
      </c>
      <c r="X28" s="111">
        <f t="shared" si="4"/>
        <v>2.0334994995897748</v>
      </c>
      <c r="Y28" s="109">
        <f>3*Table112345791011[[#This Row],[d (mm)]]</f>
        <v>900</v>
      </c>
      <c r="Z28" s="111">
        <v>300</v>
      </c>
      <c r="AA28" s="111">
        <v>350</v>
      </c>
      <c r="AB28" s="111">
        <v>200</v>
      </c>
      <c r="AC28" s="109">
        <v>54.8</v>
      </c>
      <c r="AD28" s="111">
        <f>Table112345791011[[#This Row],[pho (%)]]*Table112345791011[[#This Row],[b (mm)]]*Table112345791011[[#This Row],[h (mm)]]/100</f>
        <v>2198</v>
      </c>
      <c r="AE28" s="109">
        <v>3.14</v>
      </c>
      <c r="AF28" s="111">
        <v>545</v>
      </c>
      <c r="AG28" s="111">
        <f>(1/3-0.21*(MIN(Table112345791011[[#This Row],[b (mm)]],AA28)/MAX(Table112345791011[[#This Row],[b (mm)]],AA28))*(MIN(Table112345791011[[#This Row],[b (mm)]],AA28)^4/(12*MAX(Table112345791011[[#This Row],[b (mm)]],AA28)^4)))*MAX(Table112345791011[[#This Row],[b (mm)]],AA28)*MIN(Table112345791011[[#This Row],[b (mm)]],AA28)^3</f>
        <v>930347910.59280849</v>
      </c>
      <c r="AH28" s="111">
        <f>Table112345791011[[#This Row],[b (mm)]]*AA28^3/12</f>
        <v>714583333.33333337</v>
      </c>
      <c r="AI28" s="307">
        <f>Table112345791011[[#This Row],[a (mm)]]*2</f>
        <v>1800</v>
      </c>
      <c r="AJ28"/>
      <c r="AK28"/>
      <c r="AL28"/>
      <c r="AM28"/>
      <c r="AN28"/>
      <c r="AO28"/>
      <c r="AP28"/>
      <c r="AQ28"/>
      <c r="AR28"/>
    </row>
    <row r="29" spans="1:44" s="129" customFormat="1" ht="15.75" thickBot="1" x14ac:dyDescent="0.3">
      <c r="A29" s="310" t="s">
        <v>214</v>
      </c>
      <c r="B29" s="311">
        <v>28</v>
      </c>
      <c r="C29" s="311">
        <v>7</v>
      </c>
      <c r="D29" s="312">
        <f>Table112345791011[[#This Row],[a (mm)]]/Table112345791011[[#This Row],[d (mm)]]</f>
        <v>3</v>
      </c>
      <c r="E29" s="312">
        <v>169</v>
      </c>
      <c r="F29" s="303">
        <f>Table112345791011[[#This Row],[d (mm)]]</f>
        <v>300</v>
      </c>
      <c r="G29" s="313">
        <f t="shared" si="6"/>
        <v>152100</v>
      </c>
      <c r="H29" s="313">
        <f t="shared" si="7"/>
        <v>8.0819032927554451E-6</v>
      </c>
      <c r="I29" s="313">
        <f>G29/(Table112345791011[[#This Row],[b (mm)]]*Z29^2)</f>
        <v>8.4499999999999992E-3</v>
      </c>
      <c r="J29" s="313">
        <f t="shared" si="8"/>
        <v>0.422461978421942</v>
      </c>
      <c r="K29" s="313">
        <f t="shared" si="9"/>
        <v>5.7851106492689159E-6</v>
      </c>
      <c r="L29" s="313">
        <f>E29/(Table112345791011[[#This Row],[b (mm)]]*Z29)</f>
        <v>2.8166666666666665E-3</v>
      </c>
      <c r="M29" s="313">
        <f>Table112345791011[[#This Row],[M (KN.mm)]]/(Table112345791011[[#This Row],[b (mm)]]*Table112345791011[[#This Row],[d (mm)]])</f>
        <v>2.5350000000000001</v>
      </c>
      <c r="N29" s="313">
        <f>Table112345791011[[#This Row],[M (KN.mm)]]/(Table112345791011[[#This Row],[b (mm)]]*Table112345791011[[#This Row],[h (mm)]])</f>
        <v>2.172857142857143</v>
      </c>
      <c r="O29" s="313">
        <f>Table112345791011[[#This Row],[M (KN.mm)]]/(Table112345791011[[#This Row],[b (mm)]]*Table112345791011[[#This Row],[h (mm)]]*Table112345791011[[#This Row],[L(mm)]])</f>
        <v>1.2071428571428571E-3</v>
      </c>
      <c r="P29" s="313">
        <f>Table112345791011[[#This Row],[M (KN.mm)]]/(Table112345791011[[#This Row],[b (mm)]]*Table112345791011[[#This Row],[d (mm)]]*Table112345791011[[#This Row],[L(mm)]])</f>
        <v>1.4083333333333333E-3</v>
      </c>
      <c r="Q29" s="313">
        <f>Table112345791011[[#This Row],[M (KN.mm)]]/(Table112345791011[[#This Row],[b (mm)]]*Table112345791011[[#This Row],[h (mm)]]*Table112345791011[[#This Row],[L(mm)]]*Table112345791011[[#This Row],[fc (Mpa)]])</f>
        <v>2.2028154327424402E-5</v>
      </c>
      <c r="R29" s="313">
        <f>Table112345791011[[#This Row],[M (KN.mm)]]/(Table112345791011[[#This Row],[b (mm)]]*Table112345791011[[#This Row],[h (mm)]]*Table112345791011[[#This Row],[L(mm)]]/2)</f>
        <v>2.4142857142857143E-3</v>
      </c>
      <c r="S29" s="313">
        <f>Table112345791011[[#This Row],[M (KN.mm)]]/(Table112345791011[[#This Row],[a (mm)]]*Table112345791011[[#This Row],[b (mm)]]*Table112345791011[[#This Row],[h (mm)]]*Table112345791011[[#This Row],[L(mm)]]/2)</f>
        <v>2.6825396825396827E-6</v>
      </c>
      <c r="T29" s="304">
        <f>G29/($AL$5*AH29*0.001*Table112345791011[[#This Row],[pho (%)]])</f>
        <v>2.5738545518329443E-6</v>
      </c>
      <c r="U29" s="313">
        <f>Table112345791011[[#This Row],[M (KN.mm)]]/(Table112345791011[[#This Row],[b (mm)]]*Table112345791011[[#This Row],[d (mm)]]*Table112345791011[[#This Row],[pho (%)]])</f>
        <v>0.8073248407643312</v>
      </c>
      <c r="V29" s="313">
        <f>E29*224.8/(2*SQRT(Table112345791011[[#This Row],[fc (Mpa)]]*145.037)*Table112345791011[[#This Row],[b (mm)]]*Table112345791011[[#This Row],[d (mm)]]*(1/25.4)^2)</f>
        <v>2.2910761028711466</v>
      </c>
      <c r="W29" s="111">
        <f>Table112345791011[[#This Row],[M (KN.mm)]]/$G$29</f>
        <v>1</v>
      </c>
      <c r="X29" s="111">
        <f t="shared" si="4"/>
        <v>2.2910761028711466</v>
      </c>
      <c r="Y29" s="314">
        <f>3*Table112345791011[[#This Row],[d (mm)]]</f>
        <v>900</v>
      </c>
      <c r="Z29" s="313">
        <v>300</v>
      </c>
      <c r="AA29" s="313">
        <v>350</v>
      </c>
      <c r="AB29" s="313">
        <v>200</v>
      </c>
      <c r="AC29" s="314">
        <v>54.8</v>
      </c>
      <c r="AD29" s="313">
        <f>Table112345791011[[#This Row],[pho (%)]]*Table112345791011[[#This Row],[b (mm)]]*Table112345791011[[#This Row],[h (mm)]]/100</f>
        <v>2198</v>
      </c>
      <c r="AE29" s="314">
        <v>3.14</v>
      </c>
      <c r="AF29" s="313">
        <v>546</v>
      </c>
      <c r="AG29" s="313">
        <f>(1/3-0.21*(MIN(Table112345791011[[#This Row],[b (mm)]],AA29)/MAX(Table112345791011[[#This Row],[b (mm)]],AA29))*(MIN(Table112345791011[[#This Row],[b (mm)]],AA29)^4/(12*MAX(Table112345791011[[#This Row],[b (mm)]],AA29)^4)))*MAX(Table112345791011[[#This Row],[b (mm)]],AA29)*MIN(Table112345791011[[#This Row],[b (mm)]],AA29)^3</f>
        <v>930347910.59280849</v>
      </c>
      <c r="AH29" s="313">
        <f>Table112345791011[[#This Row],[b (mm)]]*AA29^3/12</f>
        <v>714583333.33333337</v>
      </c>
      <c r="AI29" s="315">
        <f>Table112345791011[[#This Row],[a (mm)]]*2</f>
        <v>1800</v>
      </c>
      <c r="AJ29"/>
      <c r="AK29"/>
      <c r="AL29"/>
      <c r="AM29"/>
      <c r="AN29"/>
      <c r="AO29"/>
      <c r="AP29"/>
      <c r="AQ29"/>
      <c r="AR29"/>
    </row>
    <row r="30" spans="1:44" s="129" customFormat="1" x14ac:dyDescent="0.25">
      <c r="A30"/>
      <c r="B30"/>
      <c r="C30"/>
      <c r="D30"/>
      <c r="E30" s="1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/>
      <c r="B31"/>
      <c r="C31"/>
      <c r="D31"/>
      <c r="E31" s="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K31"/>
      <c r="AL31"/>
      <c r="AM31"/>
      <c r="AN31"/>
      <c r="AO31"/>
      <c r="AP31"/>
      <c r="AQ31"/>
      <c r="AR31"/>
    </row>
    <row r="32" spans="1:44" x14ac:dyDescent="0.25">
      <c r="A32"/>
      <c r="B32"/>
      <c r="C32"/>
      <c r="D32"/>
      <c r="E32" s="1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K32"/>
      <c r="AL32"/>
      <c r="AM32"/>
      <c r="AN32"/>
      <c r="AO32"/>
      <c r="AP32"/>
      <c r="AQ32"/>
      <c r="AR32"/>
    </row>
    <row r="33" spans="1:44" x14ac:dyDescent="0.25">
      <c r="A33"/>
      <c r="B33"/>
      <c r="C33"/>
      <c r="D33"/>
      <c r="E33" s="1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K33"/>
      <c r="AL33"/>
      <c r="AM33"/>
      <c r="AN33"/>
      <c r="AO33"/>
      <c r="AP33"/>
      <c r="AQ33"/>
      <c r="AR33"/>
    </row>
    <row r="34" spans="1:44" x14ac:dyDescent="0.25">
      <c r="A34"/>
      <c r="B34"/>
      <c r="C34"/>
      <c r="D34"/>
      <c r="E34" s="1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K34"/>
      <c r="AL34"/>
      <c r="AM34"/>
      <c r="AN34"/>
      <c r="AO34"/>
      <c r="AP34"/>
      <c r="AQ34"/>
      <c r="AR34"/>
    </row>
    <row r="35" spans="1:44" x14ac:dyDescent="0.25">
      <c r="A35"/>
      <c r="B35"/>
      <c r="C35"/>
      <c r="D35"/>
      <c r="E35" s="1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K35"/>
      <c r="AL35"/>
      <c r="AM35"/>
      <c r="AN35"/>
      <c r="AO35"/>
      <c r="AP35"/>
      <c r="AQ35"/>
      <c r="AR35"/>
    </row>
    <row r="36" spans="1:44" x14ac:dyDescent="0.25">
      <c r="A36"/>
      <c r="B36"/>
      <c r="C36"/>
      <c r="D36"/>
      <c r="E36" s="1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K36"/>
      <c r="AL36"/>
      <c r="AM36"/>
      <c r="AN36"/>
      <c r="AO36"/>
      <c r="AP36"/>
      <c r="AQ36"/>
      <c r="AR36"/>
    </row>
    <row r="37" spans="1:44" x14ac:dyDescent="0.25">
      <c r="A37"/>
      <c r="B37"/>
      <c r="C37"/>
      <c r="D37"/>
      <c r="E37" s="1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 s="1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 s="1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K39"/>
      <c r="AL39"/>
      <c r="AM39"/>
      <c r="AN39"/>
      <c r="AO39"/>
      <c r="AP39"/>
      <c r="AQ39"/>
      <c r="AR39"/>
    </row>
    <row r="40" spans="1:44" x14ac:dyDescent="0.25">
      <c r="A40"/>
      <c r="B40"/>
      <c r="C40"/>
      <c r="D40"/>
      <c r="E40" s="1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K40"/>
      <c r="AL40"/>
      <c r="AM40"/>
      <c r="AN40"/>
      <c r="AO40"/>
      <c r="AP40"/>
      <c r="AQ40"/>
      <c r="AR40"/>
    </row>
    <row r="41" spans="1:44" x14ac:dyDescent="0.25">
      <c r="A41"/>
      <c r="B41"/>
      <c r="C41"/>
      <c r="D41"/>
      <c r="E41" s="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K41"/>
      <c r="AL41"/>
      <c r="AM41"/>
      <c r="AN41"/>
      <c r="AO41"/>
      <c r="AP41"/>
      <c r="AQ41"/>
      <c r="AR41"/>
    </row>
    <row r="42" spans="1:44" x14ac:dyDescent="0.25">
      <c r="A42"/>
      <c r="B42"/>
      <c r="C42"/>
      <c r="D42"/>
      <c r="E42" s="1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K42"/>
      <c r="AL42"/>
      <c r="AM42"/>
      <c r="AN42"/>
      <c r="AO42"/>
      <c r="AP42"/>
      <c r="AQ42"/>
      <c r="AR42"/>
    </row>
    <row r="43" spans="1:44" x14ac:dyDescent="0.25">
      <c r="A43"/>
      <c r="B43"/>
      <c r="C43"/>
      <c r="D43"/>
      <c r="E43" s="1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K43"/>
      <c r="AL43"/>
      <c r="AM43"/>
      <c r="AN43"/>
      <c r="AO43"/>
      <c r="AP43"/>
      <c r="AQ43"/>
      <c r="AR43"/>
    </row>
    <row r="44" spans="1:44" customFormat="1" x14ac:dyDescent="0.25">
      <c r="E44" s="1"/>
    </row>
    <row r="45" spans="1:44" x14ac:dyDescent="0.25">
      <c r="A45"/>
      <c r="B45"/>
      <c r="C45"/>
      <c r="D45"/>
      <c r="E45" s="1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K45"/>
      <c r="AL45"/>
      <c r="AM45"/>
      <c r="AN45"/>
      <c r="AO45"/>
      <c r="AP45"/>
      <c r="AQ45"/>
      <c r="AR45"/>
    </row>
    <row r="46" spans="1:44" x14ac:dyDescent="0.25">
      <c r="A46"/>
      <c r="B46"/>
      <c r="C46"/>
      <c r="D46"/>
      <c r="E46" s="1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K46"/>
      <c r="AL46"/>
      <c r="AM46"/>
      <c r="AN46"/>
      <c r="AO46"/>
      <c r="AP46"/>
      <c r="AQ46"/>
      <c r="AR46"/>
    </row>
    <row r="47" spans="1:44" x14ac:dyDescent="0.25">
      <c r="A47"/>
      <c r="B47"/>
      <c r="C47"/>
      <c r="D47"/>
      <c r="E47" s="1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 s="1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 s="1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K49"/>
      <c r="AL49"/>
      <c r="AM49"/>
      <c r="AN49"/>
      <c r="AO49"/>
      <c r="AP49"/>
      <c r="AQ49"/>
      <c r="AR49"/>
    </row>
    <row r="50" spans="1:44" x14ac:dyDescent="0.25">
      <c r="A50"/>
      <c r="B50"/>
      <c r="C50"/>
      <c r="D50"/>
      <c r="E50" s="1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K50"/>
      <c r="AL50"/>
      <c r="AM50"/>
      <c r="AN50"/>
      <c r="AO50"/>
      <c r="AP50"/>
      <c r="AQ50"/>
      <c r="AR50"/>
    </row>
    <row r="51" spans="1:44" x14ac:dyDescent="0.25">
      <c r="A51"/>
      <c r="B51"/>
      <c r="C51"/>
      <c r="D51"/>
      <c r="E51" s="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K51"/>
      <c r="AL51"/>
      <c r="AM51"/>
      <c r="AN51"/>
      <c r="AO51"/>
      <c r="AP51"/>
      <c r="AQ51"/>
      <c r="AR51"/>
    </row>
    <row r="52" spans="1:44" x14ac:dyDescent="0.25">
      <c r="A52"/>
      <c r="B52"/>
      <c r="C52"/>
      <c r="D52"/>
      <c r="E52" s="1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K52"/>
      <c r="AL52"/>
      <c r="AM52"/>
      <c r="AN52"/>
      <c r="AO52"/>
      <c r="AP52"/>
      <c r="AQ52"/>
      <c r="AR52"/>
    </row>
    <row r="53" spans="1:44" x14ac:dyDescent="0.25">
      <c r="A53"/>
      <c r="B53"/>
      <c r="C53"/>
      <c r="D53"/>
      <c r="E53" s="1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K53"/>
      <c r="AL53"/>
      <c r="AM53"/>
      <c r="AN53"/>
      <c r="AO53"/>
      <c r="AP53"/>
      <c r="AQ53"/>
      <c r="AR53"/>
    </row>
    <row r="54" spans="1:44" x14ac:dyDescent="0.25">
      <c r="A54"/>
      <c r="B54"/>
      <c r="C54"/>
      <c r="D54"/>
      <c r="E54" s="1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K54"/>
      <c r="AL54"/>
      <c r="AM54"/>
      <c r="AN54"/>
      <c r="AO54"/>
      <c r="AP54"/>
      <c r="AQ54"/>
      <c r="AR54"/>
    </row>
    <row r="55" spans="1:44" x14ac:dyDescent="0.25">
      <c r="A55"/>
      <c r="B55"/>
      <c r="C55"/>
      <c r="D55"/>
      <c r="E55" s="1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K55"/>
      <c r="AL55"/>
      <c r="AM55"/>
      <c r="AN55"/>
      <c r="AO55"/>
      <c r="AP55"/>
      <c r="AQ55"/>
      <c r="AR55"/>
    </row>
    <row r="56" spans="1:44" x14ac:dyDescent="0.25">
      <c r="A56"/>
      <c r="B56"/>
      <c r="C56"/>
      <c r="D56"/>
      <c r="E56" s="1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K56"/>
      <c r="AL56"/>
      <c r="AM56"/>
      <c r="AN56"/>
      <c r="AO56"/>
      <c r="AP56"/>
      <c r="AQ56"/>
      <c r="AR56"/>
    </row>
    <row r="57" spans="1:44" x14ac:dyDescent="0.25">
      <c r="A57"/>
      <c r="B57"/>
      <c r="C57"/>
      <c r="D57"/>
      <c r="E57" s="1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K57"/>
      <c r="AL57"/>
      <c r="AM57"/>
      <c r="AN57"/>
      <c r="AO57"/>
      <c r="AP57"/>
      <c r="AQ57"/>
      <c r="AR57"/>
    </row>
    <row r="58" spans="1:44" x14ac:dyDescent="0.25">
      <c r="A58"/>
      <c r="B58"/>
      <c r="C58"/>
      <c r="D58"/>
      <c r="E58" s="1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K58"/>
      <c r="AL58"/>
      <c r="AM58"/>
      <c r="AN58"/>
      <c r="AO58"/>
      <c r="AP58"/>
      <c r="AQ58"/>
      <c r="AR58"/>
    </row>
    <row r="59" spans="1:44" x14ac:dyDescent="0.25">
      <c r="A59"/>
      <c r="B59"/>
      <c r="C59"/>
      <c r="D59"/>
      <c r="E59" s="1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K59"/>
      <c r="AL59"/>
      <c r="AM59"/>
      <c r="AN59"/>
      <c r="AO59"/>
      <c r="AP59"/>
      <c r="AQ59"/>
      <c r="AR59"/>
    </row>
    <row r="60" spans="1:44" x14ac:dyDescent="0.25">
      <c r="A60"/>
      <c r="B60"/>
      <c r="C60"/>
      <c r="D60"/>
      <c r="E60" s="1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K60"/>
      <c r="AL60"/>
      <c r="AM60"/>
      <c r="AN60"/>
      <c r="AO60"/>
      <c r="AP60"/>
      <c r="AQ60"/>
      <c r="AR60"/>
    </row>
    <row r="61" spans="1:44" x14ac:dyDescent="0.25">
      <c r="A61"/>
      <c r="B61"/>
      <c r="C61"/>
      <c r="D61"/>
      <c r="E61" s="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K61"/>
      <c r="AL61"/>
      <c r="AM61"/>
      <c r="AN61"/>
      <c r="AO61"/>
      <c r="AP61"/>
      <c r="AQ61"/>
      <c r="AR61"/>
    </row>
    <row r="62" spans="1:44" x14ac:dyDescent="0.25">
      <c r="A62"/>
      <c r="B62"/>
      <c r="C62"/>
      <c r="D62"/>
      <c r="E62" s="1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K62"/>
      <c r="AL62"/>
      <c r="AM62"/>
      <c r="AN62"/>
      <c r="AO62"/>
      <c r="AP62"/>
      <c r="AQ62"/>
      <c r="AR62"/>
    </row>
    <row r="63" spans="1:44" x14ac:dyDescent="0.25">
      <c r="A63"/>
      <c r="B63"/>
      <c r="C63"/>
      <c r="D63"/>
      <c r="E63" s="1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K63"/>
      <c r="AL63"/>
      <c r="AM63"/>
      <c r="AN63"/>
      <c r="AO63"/>
      <c r="AP63"/>
      <c r="AQ63"/>
      <c r="AR63"/>
    </row>
    <row r="64" spans="1:44" s="1" customFormat="1" x14ac:dyDescent="0.25">
      <c r="A64"/>
      <c r="B64"/>
      <c r="C64"/>
      <c r="D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s="1" customFormat="1" x14ac:dyDescent="0.25">
      <c r="A65"/>
      <c r="B65"/>
      <c r="C65"/>
      <c r="D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s="1" customFormat="1" x14ac:dyDescent="0.25">
      <c r="A66"/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/>
      <c r="B67"/>
      <c r="C67"/>
      <c r="D67"/>
      <c r="E67" s="1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K67"/>
      <c r="AL67"/>
      <c r="AM67"/>
      <c r="AN67"/>
      <c r="AO67"/>
      <c r="AP67"/>
      <c r="AQ67"/>
      <c r="AR67"/>
    </row>
    <row r="68" spans="1:44" x14ac:dyDescent="0.25">
      <c r="A68"/>
      <c r="B68"/>
      <c r="C68"/>
      <c r="D68"/>
      <c r="E68" s="1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K68"/>
      <c r="AL68"/>
      <c r="AM68"/>
      <c r="AN68"/>
      <c r="AO68"/>
      <c r="AP68"/>
      <c r="AQ68"/>
      <c r="AR68"/>
    </row>
    <row r="69" spans="1:44" x14ac:dyDescent="0.25">
      <c r="A69"/>
      <c r="B69"/>
      <c r="C69"/>
      <c r="D69"/>
      <c r="E69" s="1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K69"/>
      <c r="AL69"/>
      <c r="AM69"/>
      <c r="AN69"/>
      <c r="AO69"/>
      <c r="AP69"/>
      <c r="AQ69"/>
      <c r="AR69"/>
    </row>
    <row r="70" spans="1:44" x14ac:dyDescent="0.25">
      <c r="A70"/>
      <c r="B70"/>
      <c r="C70"/>
      <c r="D70"/>
      <c r="E70" s="1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K70"/>
      <c r="AL70"/>
      <c r="AM70"/>
      <c r="AN70"/>
      <c r="AO70"/>
      <c r="AP70"/>
      <c r="AQ70"/>
      <c r="AR70"/>
    </row>
    <row r="71" spans="1:44" x14ac:dyDescent="0.25">
      <c r="A71"/>
      <c r="B71"/>
      <c r="C71"/>
      <c r="D71"/>
      <c r="E71" s="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K71"/>
      <c r="AL71"/>
      <c r="AM71"/>
      <c r="AN71"/>
      <c r="AO71"/>
      <c r="AP71"/>
      <c r="AQ71"/>
      <c r="AR71"/>
    </row>
    <row r="72" spans="1:44" x14ac:dyDescent="0.25">
      <c r="A72"/>
      <c r="B72"/>
      <c r="C72"/>
      <c r="D72"/>
      <c r="E72" s="1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K72"/>
      <c r="AL72"/>
      <c r="AM72"/>
      <c r="AN72"/>
      <c r="AO72"/>
      <c r="AP72"/>
      <c r="AQ72"/>
      <c r="AR72"/>
    </row>
    <row r="73" spans="1:44" x14ac:dyDescent="0.25">
      <c r="A73"/>
      <c r="B73"/>
      <c r="C73"/>
      <c r="D73"/>
      <c r="E73" s="1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K73"/>
      <c r="AL73"/>
      <c r="AM73"/>
      <c r="AN73"/>
      <c r="AO73"/>
      <c r="AP73"/>
      <c r="AQ73"/>
      <c r="AR73"/>
    </row>
    <row r="74" spans="1:44" x14ac:dyDescent="0.25">
      <c r="A74"/>
      <c r="B74"/>
      <c r="C74"/>
      <c r="D74"/>
      <c r="E74" s="1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K74"/>
      <c r="AL74"/>
      <c r="AM74"/>
      <c r="AN74"/>
      <c r="AO74"/>
      <c r="AP74"/>
      <c r="AQ74"/>
      <c r="AR74"/>
    </row>
    <row r="75" spans="1:44" x14ac:dyDescent="0.25">
      <c r="A75"/>
      <c r="B75"/>
      <c r="C75"/>
      <c r="D75"/>
      <c r="E75" s="1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K75"/>
      <c r="AL75"/>
      <c r="AM75"/>
      <c r="AN75"/>
      <c r="AO75"/>
      <c r="AP75"/>
      <c r="AQ75"/>
      <c r="AR75"/>
    </row>
    <row r="76" spans="1:44" x14ac:dyDescent="0.25">
      <c r="A76"/>
      <c r="B76"/>
      <c r="C76"/>
      <c r="D76"/>
      <c r="E76" s="1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K76"/>
      <c r="AL76"/>
      <c r="AM76"/>
      <c r="AN76"/>
      <c r="AO76"/>
      <c r="AP76"/>
      <c r="AQ76"/>
      <c r="AR76"/>
    </row>
    <row r="77" spans="1:44" x14ac:dyDescent="0.25">
      <c r="A77"/>
      <c r="B77"/>
      <c r="C77"/>
      <c r="D77"/>
      <c r="E77" s="1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K77"/>
      <c r="AL77"/>
      <c r="AM77"/>
      <c r="AN77"/>
      <c r="AO77"/>
      <c r="AP77"/>
      <c r="AQ77"/>
      <c r="AR77"/>
    </row>
    <row r="78" spans="1:44" x14ac:dyDescent="0.25">
      <c r="A78"/>
      <c r="B78"/>
      <c r="C78"/>
      <c r="D78"/>
      <c r="E78" s="1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K78"/>
      <c r="AL78"/>
      <c r="AM78"/>
      <c r="AN78"/>
      <c r="AO78"/>
      <c r="AP78"/>
      <c r="AQ78"/>
      <c r="AR78"/>
    </row>
    <row r="79" spans="1:44" x14ac:dyDescent="0.25">
      <c r="A79"/>
      <c r="B79"/>
      <c r="C79"/>
      <c r="D79"/>
      <c r="E79" s="1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K79"/>
      <c r="AL79"/>
      <c r="AM79"/>
      <c r="AN79"/>
      <c r="AO79"/>
      <c r="AP79"/>
      <c r="AQ79"/>
      <c r="AR79"/>
    </row>
    <row r="80" spans="1:44" x14ac:dyDescent="0.25">
      <c r="A80"/>
      <c r="B80"/>
      <c r="C80"/>
      <c r="D80"/>
      <c r="E80" s="1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K80"/>
      <c r="AL80"/>
      <c r="AM80"/>
      <c r="AN80"/>
      <c r="AO80"/>
      <c r="AP80"/>
      <c r="AQ80"/>
      <c r="AR80"/>
    </row>
    <row r="81" spans="1:44" x14ac:dyDescent="0.25">
      <c r="A81"/>
      <c r="B81"/>
      <c r="C81"/>
      <c r="D81"/>
      <c r="E81" s="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K81"/>
      <c r="AL81"/>
      <c r="AM81"/>
      <c r="AN81"/>
      <c r="AO81"/>
      <c r="AP81"/>
      <c r="AQ81"/>
      <c r="AR81"/>
    </row>
    <row r="82" spans="1:44" x14ac:dyDescent="0.25">
      <c r="A82"/>
      <c r="B82"/>
      <c r="C82"/>
      <c r="D82"/>
      <c r="E82" s="1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K82"/>
      <c r="AL82"/>
      <c r="AM82"/>
      <c r="AN82"/>
      <c r="AO82"/>
      <c r="AP82"/>
      <c r="AQ82"/>
      <c r="AR82"/>
    </row>
    <row r="83" spans="1:44" x14ac:dyDescent="0.25">
      <c r="A83"/>
      <c r="B83"/>
      <c r="C83"/>
      <c r="D83"/>
      <c r="E83" s="1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K83"/>
      <c r="AL83"/>
      <c r="AM83"/>
      <c r="AN83"/>
      <c r="AO83"/>
      <c r="AP83"/>
      <c r="AQ83"/>
      <c r="AR83"/>
    </row>
    <row r="84" spans="1:44" x14ac:dyDescent="0.25">
      <c r="A84"/>
      <c r="B84"/>
      <c r="C84"/>
      <c r="D84"/>
      <c r="E84" s="1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K84"/>
      <c r="AL84"/>
      <c r="AM84"/>
      <c r="AN84"/>
      <c r="AO84"/>
      <c r="AP84"/>
      <c r="AQ84"/>
      <c r="AR84"/>
    </row>
    <row r="85" spans="1:44" x14ac:dyDescent="0.25">
      <c r="A85"/>
      <c r="B85"/>
      <c r="C85"/>
      <c r="D85"/>
      <c r="E85" s="1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K85"/>
      <c r="AL85"/>
      <c r="AM85"/>
      <c r="AN85"/>
      <c r="AO85"/>
      <c r="AP85"/>
      <c r="AQ85"/>
      <c r="AR85"/>
    </row>
    <row r="86" spans="1:44" x14ac:dyDescent="0.25">
      <c r="A86"/>
      <c r="B86"/>
      <c r="C86"/>
      <c r="D86"/>
      <c r="E86" s="1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K86"/>
      <c r="AL86"/>
      <c r="AM86"/>
      <c r="AN86"/>
      <c r="AO86"/>
      <c r="AP86"/>
      <c r="AQ86"/>
      <c r="AR86"/>
    </row>
    <row r="87" spans="1:44" x14ac:dyDescent="0.25">
      <c r="A87"/>
      <c r="B87"/>
      <c r="C87"/>
      <c r="D87"/>
      <c r="E87" s="1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K87"/>
      <c r="AL87"/>
      <c r="AM87"/>
      <c r="AN87"/>
      <c r="AO87"/>
      <c r="AP87"/>
      <c r="AQ87"/>
      <c r="AR87"/>
    </row>
    <row r="88" spans="1:44" x14ac:dyDescent="0.25">
      <c r="A88"/>
      <c r="B88"/>
      <c r="C88"/>
      <c r="D88"/>
      <c r="E88" s="1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K88"/>
      <c r="AL88"/>
      <c r="AM88"/>
      <c r="AN88"/>
      <c r="AO88"/>
      <c r="AP88"/>
      <c r="AQ88"/>
      <c r="AR88"/>
    </row>
    <row r="89" spans="1:44" x14ac:dyDescent="0.25">
      <c r="A89"/>
      <c r="B89"/>
      <c r="C89"/>
      <c r="D89"/>
      <c r="E89" s="1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K89"/>
      <c r="AL89"/>
      <c r="AM89"/>
      <c r="AN89"/>
      <c r="AO89"/>
      <c r="AP89"/>
      <c r="AQ89"/>
      <c r="AR89"/>
    </row>
    <row r="90" spans="1:44" x14ac:dyDescent="0.25">
      <c r="A90"/>
      <c r="B90"/>
      <c r="C90"/>
      <c r="D90"/>
      <c r="E90" s="1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K90"/>
      <c r="AL90"/>
      <c r="AM90"/>
      <c r="AN90"/>
      <c r="AO90"/>
      <c r="AP90"/>
      <c r="AQ90"/>
      <c r="AR90"/>
    </row>
    <row r="91" spans="1:44" x14ac:dyDescent="0.25">
      <c r="A91"/>
      <c r="B91"/>
      <c r="C91"/>
      <c r="D91"/>
      <c r="E91" s="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K91"/>
      <c r="AL91"/>
      <c r="AM91"/>
      <c r="AN91"/>
      <c r="AO91"/>
      <c r="AP91"/>
      <c r="AQ91"/>
      <c r="AR91"/>
    </row>
    <row r="92" spans="1:44" x14ac:dyDescent="0.25">
      <c r="A92"/>
      <c r="B92"/>
      <c r="C92"/>
      <c r="D92"/>
      <c r="E92" s="1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K92"/>
      <c r="AL92"/>
      <c r="AM92"/>
      <c r="AN92"/>
      <c r="AO92"/>
      <c r="AP92"/>
      <c r="AQ92"/>
      <c r="AR92"/>
    </row>
    <row r="93" spans="1:44" x14ac:dyDescent="0.25">
      <c r="A93"/>
      <c r="B93"/>
      <c r="C93"/>
      <c r="D93"/>
      <c r="E93" s="1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K93"/>
      <c r="AL93"/>
      <c r="AM93"/>
      <c r="AN93"/>
      <c r="AO93"/>
      <c r="AP93"/>
      <c r="AQ93"/>
      <c r="AR93"/>
    </row>
    <row r="94" spans="1:44" x14ac:dyDescent="0.25">
      <c r="A94"/>
      <c r="B94"/>
      <c r="C94"/>
      <c r="D94"/>
      <c r="E94" s="1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K94"/>
      <c r="AL94"/>
      <c r="AM94"/>
      <c r="AN94"/>
      <c r="AO94"/>
      <c r="AP94"/>
      <c r="AQ94"/>
      <c r="AR94"/>
    </row>
    <row r="95" spans="1:44" x14ac:dyDescent="0.25">
      <c r="A95"/>
      <c r="B95"/>
      <c r="C95"/>
      <c r="D95"/>
      <c r="E95" s="1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K95"/>
      <c r="AL95"/>
      <c r="AM95"/>
      <c r="AN95"/>
      <c r="AO95"/>
      <c r="AP95"/>
      <c r="AQ95"/>
      <c r="AR95"/>
    </row>
    <row r="96" spans="1:44" x14ac:dyDescent="0.25">
      <c r="A96"/>
      <c r="B96"/>
      <c r="C96"/>
      <c r="D96"/>
      <c r="E96" s="1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K96"/>
      <c r="AL96"/>
      <c r="AM96"/>
      <c r="AN96"/>
      <c r="AO96"/>
      <c r="AP96"/>
      <c r="AQ96"/>
      <c r="AR96"/>
    </row>
    <row r="97" spans="1:44" x14ac:dyDescent="0.25">
      <c r="A97"/>
      <c r="B97"/>
      <c r="C97"/>
      <c r="D97"/>
      <c r="E97" s="1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K97"/>
      <c r="AL97"/>
      <c r="AM97"/>
      <c r="AN97"/>
      <c r="AO97"/>
      <c r="AP97"/>
      <c r="AQ97"/>
      <c r="AR97"/>
    </row>
    <row r="98" spans="1:44" x14ac:dyDescent="0.25">
      <c r="A98"/>
      <c r="B98"/>
      <c r="C98"/>
      <c r="D98"/>
      <c r="E98" s="1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 s="1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 s="1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 s="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 s="1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 s="1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 s="1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 s="1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 s="1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 s="1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 s="1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 s="1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 s="1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 s="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 s="1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 s="1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 s="1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 s="1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 s="1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 s="1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 s="1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 s="1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 s="1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 s="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 s="1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 s="1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 s="1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 s="1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 s="1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 s="1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 s="1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 s="1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 s="1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 s="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 s="1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 s="1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 s="1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 s="1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 s="1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 s="1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 s="1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 s="1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 s="1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 s="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 s="1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 s="1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 s="1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 s="1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 s="1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 s="1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 s="1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 s="1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 s="1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 s="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 s="1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 s="1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 s="1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 s="1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 s="1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 s="1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 s="1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 s="1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 s="1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 s="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 s="1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 s="1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 s="1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 s="1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 s="1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 s="1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 s="1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 s="1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 s="1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 s="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 s="1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 s="1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 s="1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 s="1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 s="1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 s="1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 s="1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 s="1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 s="1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 s="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 s="1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 s="1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 s="1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 s="1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 s="1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 s="1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 s="1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 s="1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 s="1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 s="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 s="1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 s="1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 s="1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 s="1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 s="1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 s="1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 s="1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 s="1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 s="1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 s="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 s="1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 s="1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 s="1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 s="1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 s="1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 s="1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 s="1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 s="1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 s="1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 s="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 s="1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 s="1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 s="1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 s="1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 s="1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 s="1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 s="1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 s="1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 s="1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 s="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 s="1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 s="1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 s="1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 s="1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 s="1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 s="1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 s="1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 s="1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 s="1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 s="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 s="1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 s="1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 s="1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 s="1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 s="1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 s="1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 s="1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 s="1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 s="1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 s="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 s="1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 s="1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 s="1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 s="1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 s="1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 s="1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 s="1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 s="1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 s="1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 s="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 s="1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 s="1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 s="1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 s="1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 s="1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 s="1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 s="1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 s="1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 s="1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 s="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 s="1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 s="1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 s="1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 s="1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 s="1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 s="1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 s="1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 s="1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 s="1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 s="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 s="1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 s="1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 s="1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 s="1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 s="1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 s="1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 s="1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 s="1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 s="1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 s="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 s="1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 s="1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 s="1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 s="1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 s="1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 s="1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 s="1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 s="1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 s="1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 s="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 s="1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 s="1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 s="1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 s="1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 s="1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 s="1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 s="1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 s="1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 s="1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 s="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 s="1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 s="1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 s="1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 s="1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 s="1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 s="1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 s="1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 s="1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 s="1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 s="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 s="1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 s="1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 s="1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 s="1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K315"/>
      <c r="AL315"/>
      <c r="AM315"/>
      <c r="AN315"/>
      <c r="AO315"/>
      <c r="AP315"/>
      <c r="AQ315"/>
      <c r="AR315"/>
    </row>
    <row r="316" spans="1:44" x14ac:dyDescent="0.25">
      <c r="A316"/>
      <c r="B316" s="1"/>
      <c r="C316" s="1"/>
      <c r="D316" s="177"/>
      <c r="E316" s="1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K316"/>
      <c r="AL316"/>
      <c r="AM316"/>
    </row>
    <row r="317" spans="1:44" x14ac:dyDescent="0.25">
      <c r="A317"/>
      <c r="B317" s="1"/>
      <c r="C317" s="1"/>
      <c r="D317" s="177"/>
      <c r="E317" s="1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K317"/>
      <c r="AL317"/>
      <c r="AM317"/>
    </row>
    <row r="318" spans="1:44" x14ac:dyDescent="0.25">
      <c r="A318"/>
      <c r="B318" s="1"/>
      <c r="C318" s="1"/>
      <c r="D318" s="177"/>
      <c r="E318" s="1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K318"/>
      <c r="AL318"/>
      <c r="AM318"/>
    </row>
    <row r="319" spans="1:44" x14ac:dyDescent="0.25">
      <c r="A319"/>
      <c r="B319" s="1"/>
      <c r="C319" s="1"/>
      <c r="D319" s="177"/>
      <c r="E319" s="1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K319"/>
      <c r="AL319"/>
      <c r="AM319"/>
    </row>
    <row r="320" spans="1:44" x14ac:dyDescent="0.25">
      <c r="A320"/>
      <c r="B320" s="1"/>
      <c r="C320" s="1"/>
      <c r="D320" s="177"/>
      <c r="E320" s="1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K320"/>
      <c r="AL320"/>
      <c r="AM320"/>
    </row>
    <row r="321" spans="1:39" x14ac:dyDescent="0.25">
      <c r="A321"/>
      <c r="B321" s="1"/>
      <c r="C321" s="1"/>
      <c r="D321" s="177"/>
      <c r="E321" s="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K321"/>
      <c r="AL321"/>
      <c r="AM321"/>
    </row>
    <row r="322" spans="1:39" x14ac:dyDescent="0.25">
      <c r="A322"/>
      <c r="B322" s="1"/>
      <c r="C322" s="1"/>
      <c r="D322" s="177"/>
      <c r="E322" s="1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9" x14ac:dyDescent="0.25">
      <c r="A323"/>
      <c r="B323" s="1"/>
      <c r="C323" s="1"/>
      <c r="D323" s="177"/>
      <c r="E323" s="1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9" x14ac:dyDescent="0.25">
      <c r="A324"/>
      <c r="B324" s="1"/>
      <c r="C324" s="1"/>
      <c r="D324" s="177"/>
      <c r="E324" s="1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9" x14ac:dyDescent="0.25">
      <c r="A325"/>
      <c r="B325" s="1"/>
      <c r="C325" s="1"/>
      <c r="D325" s="177"/>
      <c r="E325" s="1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9" x14ac:dyDescent="0.25">
      <c r="A326"/>
      <c r="B326" s="1"/>
      <c r="C326" s="1"/>
      <c r="D326" s="177"/>
      <c r="E326" s="1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9" x14ac:dyDescent="0.25">
      <c r="A327"/>
      <c r="B327" s="1"/>
      <c r="C327" s="1"/>
      <c r="D327" s="177"/>
      <c r="E327" s="1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9" x14ac:dyDescent="0.25">
      <c r="A328"/>
      <c r="B328" s="1"/>
      <c r="C328" s="1"/>
      <c r="D328" s="177"/>
      <c r="E328" s="1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9" x14ac:dyDescent="0.25">
      <c r="A329"/>
      <c r="B329" s="1"/>
      <c r="C329" s="1"/>
      <c r="D329" s="177"/>
      <c r="E329" s="1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9" x14ac:dyDescent="0.25">
      <c r="A330"/>
      <c r="B330" s="1"/>
      <c r="C330" s="1"/>
      <c r="D330" s="177"/>
      <c r="E330" s="1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9" x14ac:dyDescent="0.25">
      <c r="A331"/>
      <c r="B331" s="1"/>
      <c r="C331" s="1"/>
      <c r="D331" s="177"/>
      <c r="E331" s="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R327"/>
  <sheetViews>
    <sheetView topLeftCell="Q1" zoomScaleNormal="100" workbookViewId="0">
      <selection activeCell="T4" sqref="T4"/>
    </sheetView>
  </sheetViews>
  <sheetFormatPr defaultRowHeight="15" x14ac:dyDescent="0.25"/>
  <cols>
    <col min="1" max="1" width="15" style="140" customWidth="1"/>
    <col min="2" max="2" width="8.28515625" style="2" customWidth="1"/>
    <col min="3" max="3" width="7.42578125" style="2" customWidth="1"/>
    <col min="4" max="4" width="15.28515625" style="2" customWidth="1"/>
    <col min="5" max="5" width="10.85546875" style="2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7.7109375" style="2" customWidth="1"/>
    <col min="11" max="11" width="8.85546875" style="2" customWidth="1"/>
    <col min="12" max="12" width="8.42578125" style="2" customWidth="1"/>
    <col min="13" max="17" width="10" style="2" customWidth="1"/>
    <col min="18" max="24" width="14.71093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customWidth="1"/>
    <col min="37" max="37" width="13.5703125" style="2" customWidth="1"/>
    <col min="38" max="38" width="12.42578125" style="1" customWidth="1"/>
    <col min="39" max="39" width="9.140625" style="1"/>
    <col min="40" max="16384" width="9.140625" style="2"/>
  </cols>
  <sheetData>
    <row r="1" spans="1:39" ht="80.25" customHeight="1" x14ac:dyDescent="0.25">
      <c r="A1" s="231" t="s">
        <v>59</v>
      </c>
      <c r="B1" s="74" t="s">
        <v>57</v>
      </c>
      <c r="C1" s="74" t="s">
        <v>58</v>
      </c>
      <c r="D1" s="74" t="s">
        <v>194</v>
      </c>
      <c r="E1" s="3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t="s">
        <v>50</v>
      </c>
      <c r="AK1" s="1" t="s">
        <v>75</v>
      </c>
      <c r="AL1" s="1" t="s">
        <v>80</v>
      </c>
      <c r="AM1" s="1" t="s">
        <v>89</v>
      </c>
    </row>
    <row r="2" spans="1:39" x14ac:dyDescent="0.25">
      <c r="A2" s="143" t="s">
        <v>140</v>
      </c>
      <c r="B2" s="143">
        <v>4</v>
      </c>
      <c r="C2" s="185">
        <v>1</v>
      </c>
      <c r="D2" s="185">
        <f>Table1123457[[#This Row],[a (mm)]]/Table1123457[[#This Row],[d (mm)]]</f>
        <v>2.95</v>
      </c>
      <c r="E2" s="226">
        <v>1020</v>
      </c>
      <c r="F2" s="137">
        <f>Table1123457[[#This Row],[d (mm)]]</f>
        <v>916</v>
      </c>
      <c r="G2" s="111">
        <f>E2*Y2</f>
        <v>2756244.0000000005</v>
      </c>
      <c r="H2" s="111">
        <f t="shared" ref="H2:H66" si="0">G2/($AL$5*AH2*0.001)</f>
        <v>6.1368783216776118E-7</v>
      </c>
      <c r="I2" s="111">
        <f>G2/(Table1123457[[#This Row],[b (mm)]]*Z2^2)</f>
        <v>1.6294317945518822E-3</v>
      </c>
      <c r="J2" s="111">
        <f t="shared" ref="J2:J65" si="1">G2/(AD2*AF2*Z2*0.001)</f>
        <v>0.37221399863078697</v>
      </c>
      <c r="K2" s="111">
        <f t="shared" ref="K2:K65" si="2">E2/($AL$4*AG2*0.001)</f>
        <v>4.7698597303650197E-8</v>
      </c>
      <c r="L2" s="111">
        <f>E2/(Table1123457[[#This Row],[b (mm)]]*Z2)</f>
        <v>5.5234976086504474E-4</v>
      </c>
      <c r="M2" s="111">
        <f>Table1123457[[#This Row],[M (KN.mm)]]/(Table1123457[[#This Row],[b (mm)]]*Table1123457[[#This Row],[d (mm)]])</f>
        <v>1.4925595238095242</v>
      </c>
      <c r="N2" s="111">
        <f>Table1123457[[#This Row],[M (KN.mm)]]/(Table1123457[[#This Row],[b (mm)]]*Table1123457[[#This Row],[h (mm)]])</f>
        <v>1.3603826107557453</v>
      </c>
      <c r="O2" s="111">
        <f>Table1123457[[#This Row],[M (KN.mm)]]/(Table1123457[[#This Row],[b (mm)]]*Table1123457[[#This Row],[h (mm)]]*Table1123457[[#This Row],[L(mm)]])</f>
        <v>2.519227056955084E-4</v>
      </c>
      <c r="P2" s="111">
        <f>Table1123457[[#This Row],[M (KN.mm)]]/(Table1123457[[#This Row],[b (mm)]]*Table1123457[[#This Row],[d (mm)]]*Table1123457[[#This Row],[L(mm)]])</f>
        <v>2.7639991181657855E-4</v>
      </c>
      <c r="Q2" s="111">
        <f>Table1123457[[#This Row],[M (KN.mm)]]/(Table1123457[[#This Row],[b (mm)]]*Table1123457[[#This Row],[h (mm)]]*Table1123457[[#This Row],[L(mm)]]*Table1123457[[#This Row],[fc (Mpa)]])</f>
        <v>3.9362922764923187E-6</v>
      </c>
      <c r="R2" s="111">
        <f>Table1123457[[#This Row],[M (KN.mm)]]/(Table1123457[[#This Row],[b (mm)]]*Table1123457[[#This Row],[h (mm)]]*Table1123457[[#This Row],[L(mm)]]/2)</f>
        <v>5.0384541139101679E-4</v>
      </c>
      <c r="S2" s="111">
        <f>Table1123457[[#This Row],[M (KN.mm)]]/(Table1123457[[#This Row],[a (mm)]]*Table1123457[[#This Row],[b (mm)]]*Table1123457[[#This Row],[h (mm)]]*Table1123457[[#This Row],[L(mm)]]/2)</f>
        <v>1.8645748330657123E-7</v>
      </c>
      <c r="T2" s="111">
        <f>G2/($AL$5*AH2*0.001*Table1123457[[#This Row],[pho (%)]])</f>
        <v>8.0748398969442254E-7</v>
      </c>
      <c r="U2" s="111">
        <f>Table1123457[[#This Row],[M (KN.mm)]]/(Table1123457[[#This Row],[b (mm)]]*Table1123457[[#This Row],[d (mm)]]*Table1123457[[#This Row],[pho (%)]])</f>
        <v>1.9638941102756895</v>
      </c>
      <c r="V2" s="111">
        <f>E2*224.8/(2*SQRT(Table1123457[[#This Row],[fc (Mpa)]]*145.037)*Table1123457[[#This Row],[b (mm)]]*Table1123457[[#This Row],[d (mm)]]*(1/25.4)^2)</f>
        <v>0.415736852533652</v>
      </c>
      <c r="W2" s="111">
        <f>Table1123457[[#This Row],[M (KN.mm)]]/$G$8</f>
        <v>0.41695115845054398</v>
      </c>
      <c r="X2" s="111">
        <f>V2</f>
        <v>0.415736852533652</v>
      </c>
      <c r="Y2" s="111">
        <f>2.95*Table1123457[[#This Row],[d (mm)]]</f>
        <v>2702.2000000000003</v>
      </c>
      <c r="Z2" s="111">
        <v>916</v>
      </c>
      <c r="AA2" s="111">
        <v>1005</v>
      </c>
      <c r="AB2" s="111">
        <v>2016</v>
      </c>
      <c r="AC2" s="7">
        <v>64</v>
      </c>
      <c r="AD2" s="111">
        <f>Table1123457[[#This Row],[pho (%)]]*Table1123457[[#This Row],[b (mm)]]*Table1123457[[#This Row],[h (mm)]]/100</f>
        <v>15398.208000000001</v>
      </c>
      <c r="AE2" s="111">
        <v>0.76</v>
      </c>
      <c r="AF2" s="111">
        <v>525</v>
      </c>
      <c r="AG2" s="111">
        <f>(1/3-0.21*(MIN(Table1123457[[#This Row],[b (mm)]],AA2)/MAX(Table1123457[[#This Row],[b (mm)]],AA2))*(MIN(Table1123457[[#This Row],[b (mm)]],AA2)^4/(12*MAX(Table1123457[[#This Row],[b (mm)]],AA2)^4)))*MAX(Table1123457[[#This Row],[b (mm)]],AA2)*MIN(Table1123457[[#This Row],[b (mm)]],AA2)^3</f>
        <v>681027918417.11316</v>
      </c>
      <c r="AH2" s="111">
        <f>Table1123457[[#This Row],[b (mm)]]*AA2^3/12</f>
        <v>170532621000</v>
      </c>
      <c r="AI2" s="111">
        <v>5400</v>
      </c>
      <c r="AK2" s="1"/>
    </row>
    <row r="3" spans="1:39" x14ac:dyDescent="0.25">
      <c r="A3" s="143" t="s">
        <v>140</v>
      </c>
      <c r="B3" s="143">
        <v>5</v>
      </c>
      <c r="C3" s="185">
        <v>2</v>
      </c>
      <c r="D3" s="185">
        <f>Table1123457[[#This Row],[a (mm)]]/Table1123457[[#This Row],[d (mm)]]</f>
        <v>2.95</v>
      </c>
      <c r="E3" s="226">
        <v>1396</v>
      </c>
      <c r="F3" s="137">
        <f>Table1123457[[#This Row],[d (mm)]]</f>
        <v>916</v>
      </c>
      <c r="G3" s="111">
        <f t="shared" ref="G3:G66" si="3">E3*Y3</f>
        <v>3772271.2</v>
      </c>
      <c r="H3" s="111">
        <f t="shared" si="0"/>
        <v>8.3991001343744562E-7</v>
      </c>
      <c r="I3" s="111">
        <f>G3/(Table1123457[[#This Row],[b (mm)]]*Z3^2)</f>
        <v>2.2300850835239483E-3</v>
      </c>
      <c r="J3" s="111">
        <f t="shared" si="1"/>
        <v>0.50942229616527301</v>
      </c>
      <c r="K3" s="111">
        <f t="shared" si="2"/>
        <v>6.5281609643034974E-8</v>
      </c>
      <c r="L3" s="111">
        <f>E3/(Table1123457[[#This Row],[b (mm)]]*Z3)</f>
        <v>7.5596104526235526E-4</v>
      </c>
      <c r="M3" s="111">
        <f>Table1123457[[#This Row],[M (KN.mm)]]/(Table1123457[[#This Row],[b (mm)]]*Table1123457[[#This Row],[d (mm)]])</f>
        <v>2.0427579365079365</v>
      </c>
      <c r="N3" s="111">
        <f>Table1123457[[#This Row],[M (KN.mm)]]/(Table1123457[[#This Row],[b (mm)]]*Table1123457[[#This Row],[h (mm)]])</f>
        <v>1.8618569849166866</v>
      </c>
      <c r="O3" s="111">
        <f>Table1123457[[#This Row],[M (KN.mm)]]/(Table1123457[[#This Row],[b (mm)]]*Table1123457[[#This Row],[h (mm)]]*Table1123457[[#This Row],[L(mm)]])</f>
        <v>3.4478833054012712E-4</v>
      </c>
      <c r="P3" s="111">
        <f>Table1123457[[#This Row],[M (KN.mm)]]/(Table1123457[[#This Row],[b (mm)]]*Table1123457[[#This Row],[d (mm)]]*Table1123457[[#This Row],[L(mm)]])</f>
        <v>3.7828850676072898E-4</v>
      </c>
      <c r="Q3" s="111">
        <f>Table1123457[[#This Row],[M (KN.mm)]]/(Table1123457[[#This Row],[b (mm)]]*Table1123457[[#This Row],[h (mm)]]*Table1123457[[#This Row],[L(mm)]]*Table1123457[[#This Row],[fc (Mpa)]])</f>
        <v>5.3873176646894863E-6</v>
      </c>
      <c r="R3" s="111">
        <f>Table1123457[[#This Row],[M (KN.mm)]]/(Table1123457[[#This Row],[b (mm)]]*Table1123457[[#This Row],[h (mm)]]*Table1123457[[#This Row],[L(mm)]]/2)</f>
        <v>6.8957666108025424E-4</v>
      </c>
      <c r="S3" s="111">
        <f>Table1123457[[#This Row],[M (KN.mm)]]/(Table1123457[[#This Row],[a (mm)]]*Table1123457[[#This Row],[b (mm)]]*Table1123457[[#This Row],[h (mm)]]*Table1123457[[#This Row],[L(mm)]]/2)</f>
        <v>2.5519083009409159E-7</v>
      </c>
      <c r="T3" s="111">
        <f>G3/($AL$5*AH3*0.001*Table1123457[[#This Row],[pho (%)]])</f>
        <v>1.1051447545229547E-6</v>
      </c>
      <c r="U3" s="111">
        <f>Table1123457[[#This Row],[M (KN.mm)]]/(Table1123457[[#This Row],[b (mm)]]*Table1123457[[#This Row],[d (mm)]]*Table1123457[[#This Row],[pho (%)]])</f>
        <v>2.6878393901420217</v>
      </c>
      <c r="V3" s="111">
        <f>E3*224.8/(2*SQRT(Table1123457[[#This Row],[fc (Mpa)]]*145.037)*Table1123457[[#This Row],[b (mm)]]*Table1123457[[#This Row],[d (mm)]]*(1/25.4)^2)</f>
        <v>0.56898886876174326</v>
      </c>
      <c r="W3" s="111">
        <f>Table1123457[[#This Row],[M (KN.mm)]]/$G$8</f>
        <v>0.57065080117348954</v>
      </c>
      <c r="X3" s="111">
        <f t="shared" ref="X3:X66" si="4">V3</f>
        <v>0.56898886876174326</v>
      </c>
      <c r="Y3" s="111">
        <f>2.95*Table1123457[[#This Row],[d (mm)]]</f>
        <v>2702.2000000000003</v>
      </c>
      <c r="Z3" s="111">
        <v>916</v>
      </c>
      <c r="AA3" s="111">
        <v>1005</v>
      </c>
      <c r="AB3" s="111">
        <v>2016</v>
      </c>
      <c r="AC3" s="7">
        <v>64</v>
      </c>
      <c r="AD3" s="111">
        <f>Table1123457[[#This Row],[pho (%)]]*Table1123457[[#This Row],[b (mm)]]*Table1123457[[#This Row],[h (mm)]]/100</f>
        <v>15398.208000000001</v>
      </c>
      <c r="AE3" s="111">
        <v>0.76</v>
      </c>
      <c r="AF3" s="111">
        <v>525</v>
      </c>
      <c r="AG3" s="111">
        <f>(1/3-0.21*(MIN(Table1123457[[#This Row],[b (mm)]],AA3)/MAX(Table1123457[[#This Row],[b (mm)]],AA3))*(MIN(Table1123457[[#This Row],[b (mm)]],AA3)^4/(12*MAX(Table1123457[[#This Row],[b (mm)]],AA3)^4)))*MAX(Table1123457[[#This Row],[b (mm)]],AA3)*MIN(Table1123457[[#This Row],[b (mm)]],AA3)^3</f>
        <v>681027918417.11316</v>
      </c>
      <c r="AH3" s="111">
        <f>Table1123457[[#This Row],[b (mm)]]*AA3^3/12</f>
        <v>170532621000</v>
      </c>
      <c r="AI3" s="111">
        <v>5400</v>
      </c>
      <c r="AK3" s="1"/>
    </row>
    <row r="4" spans="1:39" x14ac:dyDescent="0.25">
      <c r="A4" s="143" t="s">
        <v>140</v>
      </c>
      <c r="B4" s="143">
        <v>6</v>
      </c>
      <c r="C4" s="185">
        <v>3</v>
      </c>
      <c r="D4" s="185">
        <f>Table1123457[[#This Row],[a (mm)]]/Table1123457[[#This Row],[d (mm)]]</f>
        <v>2.95</v>
      </c>
      <c r="E4" s="226">
        <v>1693</v>
      </c>
      <c r="F4" s="137">
        <f>Table1123457[[#This Row],[d (mm)]]</f>
        <v>916</v>
      </c>
      <c r="G4" s="111">
        <f t="shared" si="3"/>
        <v>4574824.6000000006</v>
      </c>
      <c r="H4" s="111">
        <f t="shared" si="0"/>
        <v>1.0186014704509996E-6</v>
      </c>
      <c r="I4" s="111">
        <f>G4/(Table1123457[[#This Row],[b (mm)]]*Z4^2)</f>
        <v>2.7045372825258199E-3</v>
      </c>
      <c r="J4" s="111">
        <f t="shared" si="1"/>
        <v>0.61780225459011984</v>
      </c>
      <c r="K4" s="111">
        <f t="shared" si="2"/>
        <v>7.917031885792136E-8</v>
      </c>
      <c r="L4" s="111">
        <f>E4/(Table1123457[[#This Row],[b (mm)]]*Z4)</f>
        <v>9.1679229916129484E-4</v>
      </c>
      <c r="M4" s="111">
        <f>Table1123457[[#This Row],[M (KN.mm)]]/(Table1123457[[#This Row],[b (mm)]]*Table1123457[[#This Row],[d (mm)]])</f>
        <v>2.4773561507936512</v>
      </c>
      <c r="N4" s="111">
        <f>Table1123457[[#This Row],[M (KN.mm)]]/(Table1123457[[#This Row],[b (mm)]]*Table1123457[[#This Row],[h (mm)]])</f>
        <v>2.2579683921661537</v>
      </c>
      <c r="O4" s="111">
        <f>Table1123457[[#This Row],[M (KN.mm)]]/(Table1123457[[#This Row],[b (mm)]]*Table1123457[[#This Row],[h (mm)]]*Table1123457[[#This Row],[L(mm)]])</f>
        <v>4.1814229484558402E-4</v>
      </c>
      <c r="P4" s="111">
        <f>Table1123457[[#This Row],[M (KN.mm)]]/(Table1123457[[#This Row],[b (mm)]]*Table1123457[[#This Row],[d (mm)]]*Table1123457[[#This Row],[L(mm)]])</f>
        <v>4.5876965755437985E-4</v>
      </c>
      <c r="Q4" s="111">
        <f>Table1123457[[#This Row],[M (KN.mm)]]/(Table1123457[[#This Row],[b (mm)]]*Table1123457[[#This Row],[h (mm)]]*Table1123457[[#This Row],[L(mm)]]*Table1123457[[#This Row],[fc (Mpa)]])</f>
        <v>6.5334733569622503E-6</v>
      </c>
      <c r="R4" s="111">
        <f>Table1123457[[#This Row],[M (KN.mm)]]/(Table1123457[[#This Row],[b (mm)]]*Table1123457[[#This Row],[h (mm)]]*Table1123457[[#This Row],[L(mm)]]/2)</f>
        <v>8.3628458969116804E-4</v>
      </c>
      <c r="S4" s="111">
        <f>Table1123457[[#This Row],[M (KN.mm)]]/(Table1123457[[#This Row],[a (mm)]]*Table1123457[[#This Row],[b (mm)]]*Table1123457[[#This Row],[h (mm)]]*Table1123457[[#This Row],[L(mm)]]/2)</f>
        <v>3.0948286199806378E-7</v>
      </c>
      <c r="T4" s="111">
        <f>G4/($AL$5*AH4*0.001*Table1123457[[#This Row],[pho (%)]])</f>
        <v>1.3402650926986837E-6</v>
      </c>
      <c r="U4" s="111">
        <f>Table1123457[[#This Row],[M (KN.mm)]]/(Table1123457[[#This Row],[b (mm)]]*Table1123457[[#This Row],[d (mm)]]*Table1123457[[#This Row],[pho (%)]])</f>
        <v>3.2596791457811198</v>
      </c>
      <c r="V4" s="111">
        <f>E4*224.8/(2*SQRT(Table1123457[[#This Row],[fc (Mpa)]]*145.037)*Table1123457[[#This Row],[b (mm)]]*Table1123457[[#This Row],[d (mm)]]*(1/25.4)^2)</f>
        <v>0.69004165817595386</v>
      </c>
      <c r="W4" s="111">
        <f>Table1123457[[#This Row],[M (KN.mm)]]/$G$8</f>
        <v>0.69205716789879501</v>
      </c>
      <c r="X4" s="111">
        <f t="shared" si="4"/>
        <v>0.69004165817595386</v>
      </c>
      <c r="Y4" s="111">
        <f>2.95*Table1123457[[#This Row],[d (mm)]]</f>
        <v>2702.2000000000003</v>
      </c>
      <c r="Z4" s="111">
        <v>916</v>
      </c>
      <c r="AA4" s="111">
        <v>1005</v>
      </c>
      <c r="AB4" s="111">
        <v>2016</v>
      </c>
      <c r="AC4" s="7">
        <v>64</v>
      </c>
      <c r="AD4" s="111">
        <f>Table1123457[[#This Row],[pho (%)]]*Table1123457[[#This Row],[b (mm)]]*Table1123457[[#This Row],[h (mm)]]/100</f>
        <v>15398.208000000001</v>
      </c>
      <c r="AE4" s="111">
        <v>0.76</v>
      </c>
      <c r="AF4" s="111">
        <v>525</v>
      </c>
      <c r="AG4" s="111">
        <f>(1/3-0.21*(MIN(Table1123457[[#This Row],[b (mm)]],AA4)/MAX(Table1123457[[#This Row],[b (mm)]],AA4))*(MIN(Table1123457[[#This Row],[b (mm)]],AA4)^4/(12*MAX(Table1123457[[#This Row],[b (mm)]],AA4)^4)))*MAX(Table1123457[[#This Row],[b (mm)]],AA4)*MIN(Table1123457[[#This Row],[b (mm)]],AA4)^3</f>
        <v>681027918417.11316</v>
      </c>
      <c r="AH4" s="111">
        <f>Table1123457[[#This Row],[b (mm)]]*AA4^3/12</f>
        <v>170532621000</v>
      </c>
      <c r="AI4" s="111">
        <v>5400</v>
      </c>
      <c r="AK4" s="126" t="s">
        <v>7</v>
      </c>
      <c r="AL4" s="107">
        <v>31.4</v>
      </c>
    </row>
    <row r="5" spans="1:39" x14ac:dyDescent="0.25">
      <c r="A5" s="143" t="s">
        <v>140</v>
      </c>
      <c r="B5" s="143">
        <v>7</v>
      </c>
      <c r="C5" s="185">
        <v>4</v>
      </c>
      <c r="D5" s="185">
        <f>Table1123457[[#This Row],[a (mm)]]/Table1123457[[#This Row],[d (mm)]]</f>
        <v>2.95</v>
      </c>
      <c r="E5" s="226">
        <v>1995</v>
      </c>
      <c r="F5" s="137">
        <f>Table1123457[[#This Row],[d (mm)]]</f>
        <v>916</v>
      </c>
      <c r="G5" s="111">
        <f t="shared" si="3"/>
        <v>5390889.0000000009</v>
      </c>
      <c r="H5" s="111">
        <f t="shared" si="0"/>
        <v>1.2003012011516506E-6</v>
      </c>
      <c r="I5" s="111">
        <f>G5/(Table1123457[[#This Row],[b (mm)]]*Z5^2)</f>
        <v>3.1869768922852988E-3</v>
      </c>
      <c r="J5" s="111">
        <f t="shared" si="1"/>
        <v>0.72800679143962743</v>
      </c>
      <c r="K5" s="111">
        <f t="shared" si="2"/>
        <v>9.3292844726257011E-8</v>
      </c>
      <c r="L5" s="111">
        <f>E5/(Table1123457[[#This Row],[b (mm)]]*Z5)</f>
        <v>1.0803311499272199E-3</v>
      </c>
      <c r="M5" s="111">
        <f>Table1123457[[#This Row],[M (KN.mm)]]/(Table1123457[[#This Row],[b (mm)]]*Table1123457[[#This Row],[d (mm)]])</f>
        <v>2.9192708333333339</v>
      </c>
      <c r="N5" s="111">
        <f>Table1123457[[#This Row],[M (KN.mm)]]/(Table1123457[[#This Row],[b (mm)]]*Table1123457[[#This Row],[h (mm)]])</f>
        <v>2.6607483416252076</v>
      </c>
      <c r="O5" s="111">
        <f>Table1123457[[#This Row],[M (KN.mm)]]/(Table1123457[[#This Row],[b (mm)]]*Table1123457[[#This Row],[h (mm)]]*Table1123457[[#This Row],[L(mm)]])</f>
        <v>4.9273117437503844E-4</v>
      </c>
      <c r="P5" s="111">
        <f>Table1123457[[#This Row],[M (KN.mm)]]/(Table1123457[[#This Row],[b (mm)]]*Table1123457[[#This Row],[d (mm)]]*Table1123457[[#This Row],[L(mm)]])</f>
        <v>5.4060570987654328E-4</v>
      </c>
      <c r="Q5" s="111">
        <f>Table1123457[[#This Row],[M (KN.mm)]]/(Table1123457[[#This Row],[b (mm)]]*Table1123457[[#This Row],[h (mm)]]*Table1123457[[#This Row],[L(mm)]]*Table1123457[[#This Row],[fc (Mpa)]])</f>
        <v>7.6989245996099756E-6</v>
      </c>
      <c r="R5" s="111">
        <f>Table1123457[[#This Row],[M (KN.mm)]]/(Table1123457[[#This Row],[b (mm)]]*Table1123457[[#This Row],[h (mm)]]*Table1123457[[#This Row],[L(mm)]]/2)</f>
        <v>9.8546234875007688E-4</v>
      </c>
      <c r="S5" s="111">
        <f>Table1123457[[#This Row],[M (KN.mm)]]/(Table1123457[[#This Row],[a (mm)]]*Table1123457[[#This Row],[b (mm)]]*Table1123457[[#This Row],[h (mm)]]*Table1123457[[#This Row],[L(mm)]]/2)</f>
        <v>3.6468890117314667E-7</v>
      </c>
      <c r="T5" s="111">
        <f>G5/($AL$5*AH5*0.001*Table1123457[[#This Row],[pho (%)]])</f>
        <v>1.579343685725856E-6</v>
      </c>
      <c r="U5" s="111">
        <f>Table1123457[[#This Row],[M (KN.mm)]]/(Table1123457[[#This Row],[b (mm)]]*Table1123457[[#This Row],[d (mm)]]*Table1123457[[#This Row],[pho (%)]])</f>
        <v>3.8411458333333339</v>
      </c>
      <c r="V5" s="111">
        <f>E5*224.8/(2*SQRT(Table1123457[[#This Row],[fc (Mpa)]]*145.037)*Table1123457[[#This Row],[b (mm)]]*Table1123457[[#This Row],[d (mm)]]*(1/25.4)^2)</f>
        <v>0.81313237333787813</v>
      </c>
      <c r="W5" s="111">
        <f>Table1123457[[#This Row],[M (KN.mm)]]/$G$8</f>
        <v>0.81550741285179928</v>
      </c>
      <c r="X5" s="111">
        <f t="shared" si="4"/>
        <v>0.81313237333787813</v>
      </c>
      <c r="Y5" s="111">
        <f>2.95*Table1123457[[#This Row],[d (mm)]]</f>
        <v>2702.2000000000003</v>
      </c>
      <c r="Z5" s="111">
        <v>916</v>
      </c>
      <c r="AA5" s="111">
        <v>1005</v>
      </c>
      <c r="AB5" s="111">
        <v>2016</v>
      </c>
      <c r="AC5" s="7">
        <v>64</v>
      </c>
      <c r="AD5" s="111">
        <f>Table1123457[[#This Row],[pho (%)]]*Table1123457[[#This Row],[b (mm)]]*Table1123457[[#This Row],[h (mm)]]/100</f>
        <v>15398.208000000001</v>
      </c>
      <c r="AE5" s="111">
        <v>0.76</v>
      </c>
      <c r="AF5" s="111">
        <v>525</v>
      </c>
      <c r="AG5" s="111">
        <f>(1/3-0.21*(MIN(Table1123457[[#This Row],[b (mm)]],AA5)/MAX(Table1123457[[#This Row],[b (mm)]],AA5))*(MIN(Table1123457[[#This Row],[b (mm)]],AA5)^4/(12*MAX(Table1123457[[#This Row],[b (mm)]],AA5)^4)))*MAX(Table1123457[[#This Row],[b (mm)]],AA5)*MIN(Table1123457[[#This Row],[b (mm)]],AA5)^3</f>
        <v>681027918417.11316</v>
      </c>
      <c r="AH5" s="111">
        <f>Table1123457[[#This Row],[b (mm)]]*AA5^3/12</f>
        <v>170532621000</v>
      </c>
      <c r="AI5" s="111">
        <v>5400</v>
      </c>
      <c r="AK5" s="126" t="s">
        <v>8</v>
      </c>
      <c r="AL5" s="107">
        <f>4700*SQRT(AL4)</f>
        <v>26336.780365109171</v>
      </c>
    </row>
    <row r="6" spans="1:39" x14ac:dyDescent="0.25">
      <c r="A6" s="143" t="s">
        <v>140</v>
      </c>
      <c r="B6" s="143">
        <v>8</v>
      </c>
      <c r="C6" s="185">
        <v>5</v>
      </c>
      <c r="D6" s="185">
        <f>Table1123457[[#This Row],[a (mm)]]/Table1123457[[#This Row],[d (mm)]]</f>
        <v>2.95</v>
      </c>
      <c r="E6" s="226">
        <v>2196</v>
      </c>
      <c r="F6" s="137">
        <f>Table1123457[[#This Row],[d (mm)]]</f>
        <v>916</v>
      </c>
      <c r="G6" s="111">
        <f t="shared" si="3"/>
        <v>5934031.2000000002</v>
      </c>
      <c r="H6" s="111">
        <f t="shared" si="0"/>
        <v>1.3212338033729444E-6</v>
      </c>
      <c r="I6" s="111">
        <f>G6/(Table1123457[[#This Row],[b (mm)]]*Z6^2)</f>
        <v>3.5080708047411104E-3</v>
      </c>
      <c r="J6" s="111">
        <f t="shared" si="1"/>
        <v>0.80135484411098823</v>
      </c>
      <c r="K6" s="111">
        <f t="shared" si="2"/>
        <v>1.0269227419491748E-7</v>
      </c>
      <c r="L6" s="111">
        <f>E6/(Table1123457[[#This Row],[b (mm)]]*Z6)</f>
        <v>1.1891765439800374E-3</v>
      </c>
      <c r="M6" s="111">
        <f>Table1123457[[#This Row],[M (KN.mm)]]/(Table1123457[[#This Row],[b (mm)]]*Table1123457[[#This Row],[d (mm)]])</f>
        <v>3.2133928571428574</v>
      </c>
      <c r="N6" s="111">
        <f>Table1123457[[#This Row],[M (KN.mm)]]/(Table1123457[[#This Row],[b (mm)]]*Table1123457[[#This Row],[h (mm)]])</f>
        <v>2.9288237384506042</v>
      </c>
      <c r="O6" s="111">
        <f>Table1123457[[#This Row],[M (KN.mm)]]/(Table1123457[[#This Row],[b (mm)]]*Table1123457[[#This Row],[h (mm)]]*Table1123457[[#This Row],[L(mm)]])</f>
        <v>5.4237476637974155E-4</v>
      </c>
      <c r="P6" s="111">
        <f>Table1123457[[#This Row],[M (KN.mm)]]/(Table1123457[[#This Row],[b (mm)]]*Table1123457[[#This Row],[d (mm)]]*Table1123457[[#This Row],[L(mm)]])</f>
        <v>5.9507275132275139E-4</v>
      </c>
      <c r="Q6" s="111">
        <f>Table1123457[[#This Row],[M (KN.mm)]]/(Table1123457[[#This Row],[b (mm)]]*Table1123457[[#This Row],[h (mm)]]*Table1123457[[#This Row],[L(mm)]]*Table1123457[[#This Row],[fc (Mpa)]])</f>
        <v>8.4746057246834617E-6</v>
      </c>
      <c r="R6" s="111">
        <f>Table1123457[[#This Row],[M (KN.mm)]]/(Table1123457[[#This Row],[b (mm)]]*Table1123457[[#This Row],[h (mm)]]*Table1123457[[#This Row],[L(mm)]]/2)</f>
        <v>1.0847495327594831E-3</v>
      </c>
      <c r="S6" s="111">
        <f>Table1123457[[#This Row],[M (KN.mm)]]/(Table1123457[[#This Row],[a (mm)]]*Table1123457[[#This Row],[b (mm)]]*Table1123457[[#This Row],[h (mm)]]*Table1123457[[#This Row],[L(mm)]]/2)</f>
        <v>4.0143199347179448E-7</v>
      </c>
      <c r="T6" s="111">
        <f>G6/($AL$5*AH6*0.001*Table1123457[[#This Row],[pho (%)]])</f>
        <v>1.7384655307538742E-6</v>
      </c>
      <c r="U6" s="111">
        <f>Table1123457[[#This Row],[M (KN.mm)]]/(Table1123457[[#This Row],[b (mm)]]*Table1123457[[#This Row],[d (mm)]]*Table1123457[[#This Row],[pho (%)]])</f>
        <v>4.2281484962406015</v>
      </c>
      <c r="V6" s="111">
        <f>E6*224.8/(2*SQRT(Table1123457[[#This Row],[fc (Mpa)]]*145.037)*Table1123457[[#This Row],[b (mm)]]*Table1123457[[#This Row],[d (mm)]]*(1/25.4)^2)</f>
        <v>0.89505698839598025</v>
      </c>
      <c r="W6" s="111">
        <f>Table1123457[[#This Row],[M (KN.mm)]]/$G$8</f>
        <v>0.89767131760528873</v>
      </c>
      <c r="X6" s="111">
        <f t="shared" si="4"/>
        <v>0.89505698839598025</v>
      </c>
      <c r="Y6" s="111">
        <f>2.95*Table1123457[[#This Row],[d (mm)]]</f>
        <v>2702.2000000000003</v>
      </c>
      <c r="Z6" s="111">
        <v>916</v>
      </c>
      <c r="AA6" s="111">
        <v>1005</v>
      </c>
      <c r="AB6" s="111">
        <v>2016</v>
      </c>
      <c r="AC6" s="7">
        <v>64</v>
      </c>
      <c r="AD6" s="111">
        <f>Table1123457[[#This Row],[pho (%)]]*Table1123457[[#This Row],[b (mm)]]*Table1123457[[#This Row],[h (mm)]]/100</f>
        <v>15398.208000000001</v>
      </c>
      <c r="AE6" s="111">
        <v>0.76</v>
      </c>
      <c r="AF6" s="111">
        <v>525</v>
      </c>
      <c r="AG6" s="111">
        <f>(1/3-0.21*(MIN(Table1123457[[#This Row],[b (mm)]],AA6)/MAX(Table1123457[[#This Row],[b (mm)]],AA6))*(MIN(Table1123457[[#This Row],[b (mm)]],AA6)^4/(12*MAX(Table1123457[[#This Row],[b (mm)]],AA6)^4)))*MAX(Table1123457[[#This Row],[b (mm)]],AA6)*MIN(Table1123457[[#This Row],[b (mm)]],AA6)^3</f>
        <v>681027918417.11316</v>
      </c>
      <c r="AH6" s="111">
        <f>Table1123457[[#This Row],[b (mm)]]*AA6^3/12</f>
        <v>170532621000</v>
      </c>
      <c r="AI6" s="111">
        <v>5400</v>
      </c>
      <c r="AK6" s="126" t="s">
        <v>16</v>
      </c>
      <c r="AL6" s="107">
        <f>AL5/(2*(1+0.15))</f>
        <v>11450.774071786596</v>
      </c>
    </row>
    <row r="7" spans="1:39" x14ac:dyDescent="0.25">
      <c r="A7" s="143" t="s">
        <v>140</v>
      </c>
      <c r="B7" s="143">
        <v>9</v>
      </c>
      <c r="C7" s="185">
        <v>6</v>
      </c>
      <c r="D7" s="185">
        <f>Table1123457[[#This Row],[a (mm)]]/Table1123457[[#This Row],[d (mm)]]</f>
        <v>2.95</v>
      </c>
      <c r="E7" s="226">
        <v>2286</v>
      </c>
      <c r="F7" s="137">
        <f>Table1123457[[#This Row],[d (mm)]]</f>
        <v>917</v>
      </c>
      <c r="G7" s="111">
        <f t="shared" si="3"/>
        <v>6183972.9000000004</v>
      </c>
      <c r="H7" s="111">
        <f t="shared" si="0"/>
        <v>1.3768842392709728E-6</v>
      </c>
      <c r="I7" s="111">
        <f>G7/(Table1123457[[#This Row],[b (mm)]]*Z7^2)</f>
        <v>3.6478618164823185E-3</v>
      </c>
      <c r="J7" s="111">
        <f t="shared" si="1"/>
        <v>0.83419725575488113</v>
      </c>
      <c r="K7" s="111">
        <f t="shared" si="2"/>
        <v>1.0690097395700427E-7</v>
      </c>
      <c r="L7" s="111">
        <f>E7/(Table1123457[[#This Row],[b (mm)]]*Z7)</f>
        <v>1.2365633276211249E-3</v>
      </c>
      <c r="M7" s="111">
        <f>Table1123457[[#This Row],[M (KN.mm)]]/(Table1123457[[#This Row],[b (mm)]]*Table1123457[[#This Row],[d (mm)]])</f>
        <v>3.3450892857142858</v>
      </c>
      <c r="N7" s="111">
        <f>Table1123457[[#This Row],[M (KN.mm)]]/(Table1123457[[#This Row],[b (mm)]]*Table1123457[[#This Row],[h (mm)]])</f>
        <v>3.052185945273632</v>
      </c>
      <c r="O7" s="111">
        <f>Table1123457[[#This Row],[M (KN.mm)]]/(Table1123457[[#This Row],[b (mm)]]*Table1123457[[#This Row],[h (mm)]]*Table1123457[[#This Row],[L(mm)]])</f>
        <v>5.6521961949511704E-4</v>
      </c>
      <c r="P7" s="111">
        <f>Table1123457[[#This Row],[M (KN.mm)]]/(Table1123457[[#This Row],[b (mm)]]*Table1123457[[#This Row],[d (mm)]]*Table1123457[[#This Row],[L(mm)]])</f>
        <v>6.1946097883597891E-4</v>
      </c>
      <c r="Q7" s="111">
        <f>Table1123457[[#This Row],[M (KN.mm)]]/(Table1123457[[#This Row],[b (mm)]]*Table1123457[[#This Row],[h (mm)]]*Table1123457[[#This Row],[L(mm)]]*Table1123457[[#This Row],[fc (Mpa)]])</f>
        <v>8.8315565546112037E-6</v>
      </c>
      <c r="R7" s="111">
        <f>Table1123457[[#This Row],[M (KN.mm)]]/(Table1123457[[#This Row],[b (mm)]]*Table1123457[[#This Row],[h (mm)]]*Table1123457[[#This Row],[L(mm)]]/2)</f>
        <v>1.1304392389902341E-3</v>
      </c>
      <c r="S7" s="111">
        <f>Table1123457[[#This Row],[M (KN.mm)]]/(Table1123457[[#This Row],[a (mm)]]*Table1123457[[#This Row],[b (mm)]]*Table1123457[[#This Row],[h (mm)]]*Table1123457[[#This Row],[L(mm)]]/2)</f>
        <v>4.1788412435178608E-7</v>
      </c>
      <c r="T7" s="111">
        <f>G7/($AL$5*AH7*0.001*Table1123457[[#This Row],[pho (%)]])</f>
        <v>1.8116897885144378E-6</v>
      </c>
      <c r="U7" s="111">
        <f>Table1123457[[#This Row],[M (KN.mm)]]/(Table1123457[[#This Row],[b (mm)]]*Table1123457[[#This Row],[d (mm)]]*Table1123457[[#This Row],[pho (%)]])</f>
        <v>4.4014332706766917</v>
      </c>
      <c r="V7" s="111">
        <f>E7*224.8/(2*SQRT(Table1123457[[#This Row],[fc (Mpa)]]*145.037)*Table1123457[[#This Row],[b (mm)]]*Table1123457[[#This Row],[d (mm)]]*(1/25.4)^2)</f>
        <v>0.93072357807963579</v>
      </c>
      <c r="W7" s="111">
        <f>Table1123457[[#This Row],[M (KN.mm)]]/$G$8</f>
        <v>0.93548127977122841</v>
      </c>
      <c r="X7" s="111">
        <f t="shared" si="4"/>
        <v>0.93072357807963579</v>
      </c>
      <c r="Y7" s="111">
        <f>2.95*Table1123457[[#This Row],[d (mm)]]</f>
        <v>2705.15</v>
      </c>
      <c r="Z7" s="111">
        <v>917</v>
      </c>
      <c r="AA7" s="111">
        <v>1005</v>
      </c>
      <c r="AB7" s="111">
        <v>2016</v>
      </c>
      <c r="AC7" s="7">
        <v>64</v>
      </c>
      <c r="AD7" s="111">
        <f>Table1123457[[#This Row],[pho (%)]]*Table1123457[[#This Row],[b (mm)]]*Table1123457[[#This Row],[h (mm)]]/100</f>
        <v>15398.208000000001</v>
      </c>
      <c r="AE7" s="111">
        <v>0.76</v>
      </c>
      <c r="AF7" s="111">
        <v>525</v>
      </c>
      <c r="AG7" s="111">
        <f>(1/3-0.21*(MIN(Table1123457[[#This Row],[b (mm)]],AA7)/MAX(Table1123457[[#This Row],[b (mm)]],AA7))*(MIN(Table1123457[[#This Row],[b (mm)]],AA7)^4/(12*MAX(Table1123457[[#This Row],[b (mm)]],AA7)^4)))*MAX(Table1123457[[#This Row],[b (mm)]],AA7)*MIN(Table1123457[[#This Row],[b (mm)]],AA7)^3</f>
        <v>681027918417.11316</v>
      </c>
      <c r="AH7" s="111">
        <f>Table1123457[[#This Row],[b (mm)]]*AA7^3/12</f>
        <v>170532621000</v>
      </c>
      <c r="AI7" s="111">
        <v>5400</v>
      </c>
      <c r="AK7" s="107"/>
    </row>
    <row r="8" spans="1:39" x14ac:dyDescent="0.25">
      <c r="A8" s="143" t="s">
        <v>140</v>
      </c>
      <c r="B8" s="233" t="s">
        <v>141</v>
      </c>
      <c r="C8" s="185">
        <v>7</v>
      </c>
      <c r="D8" s="185">
        <f>Table1123457[[#This Row],[a (mm)]]/Table1123457[[#This Row],[d (mm)]]</f>
        <v>2.95</v>
      </c>
      <c r="E8" s="226">
        <v>2441</v>
      </c>
      <c r="F8" s="137">
        <f>Table1123457[[#This Row],[d (mm)]]</f>
        <v>918</v>
      </c>
      <c r="G8" s="111">
        <f t="shared" si="3"/>
        <v>6610472.1000000006</v>
      </c>
      <c r="H8" s="111">
        <f t="shared" si="0"/>
        <v>1.4718458498792079E-6</v>
      </c>
      <c r="I8" s="111">
        <f>G8/(Table1123457[[#This Row],[b (mm)]]*Z8^2)</f>
        <v>3.8909583895286514E-3</v>
      </c>
      <c r="J8" s="111">
        <f t="shared" si="1"/>
        <v>0.89075918691936351</v>
      </c>
      <c r="K8" s="111">
        <f t="shared" si="2"/>
        <v>1.141492902139315E-7</v>
      </c>
      <c r="L8" s="111">
        <f>E8/(Table1123457[[#This Row],[b (mm)]]*Z8)</f>
        <v>1.3189689456029326E-3</v>
      </c>
      <c r="M8" s="111">
        <f>Table1123457[[#This Row],[M (KN.mm)]]/(Table1123457[[#This Row],[b (mm)]]*Table1123457[[#This Row],[d (mm)]])</f>
        <v>3.571899801587302</v>
      </c>
      <c r="N8" s="111">
        <f>Table1123457[[#This Row],[M (KN.mm)]]/(Table1123457[[#This Row],[b (mm)]]*Table1123457[[#This Row],[h (mm)]])</f>
        <v>3.2626905650319831</v>
      </c>
      <c r="O8" s="111">
        <f>Table1123457[[#This Row],[M (KN.mm)]]/(Table1123457[[#This Row],[b (mm)]]*Table1123457[[#This Row],[h (mm)]]*Table1123457[[#This Row],[L(mm)]])</f>
        <v>6.0420195648740432E-4</v>
      </c>
      <c r="P8" s="111">
        <f>Table1123457[[#This Row],[M (KN.mm)]]/(Table1123457[[#This Row],[b (mm)]]*Table1123457[[#This Row],[d (mm)]]*Table1123457[[#This Row],[L(mm)]])</f>
        <v>6.6146292621987069E-4</v>
      </c>
      <c r="Q8" s="111">
        <f>Table1123457[[#This Row],[M (KN.mm)]]/(Table1123457[[#This Row],[b (mm)]]*Table1123457[[#This Row],[h (mm)]]*Table1123457[[#This Row],[L(mm)]]*Table1123457[[#This Row],[fc (Mpa)]])</f>
        <v>9.4406555701156925E-6</v>
      </c>
      <c r="R8" s="111">
        <f>Table1123457[[#This Row],[M (KN.mm)]]/(Table1123457[[#This Row],[b (mm)]]*Table1123457[[#This Row],[h (mm)]]*Table1123457[[#This Row],[L(mm)]]/2)</f>
        <v>1.2084039129748086E-3</v>
      </c>
      <c r="S8" s="111">
        <f>Table1123457[[#This Row],[M (KN.mm)]]/(Table1123457[[#This Row],[a (mm)]]*Table1123457[[#This Row],[b (mm)]]*Table1123457[[#This Row],[h (mm)]]*Table1123457[[#This Row],[L(mm)]]/2)</f>
        <v>4.4621834975621596E-7</v>
      </c>
      <c r="T8" s="111">
        <f>G8/($AL$5*AH8*0.001*Table1123457[[#This Row],[pho (%)]])</f>
        <v>1.9366392761568523E-6</v>
      </c>
      <c r="U8" s="111">
        <f>Table1123457[[#This Row],[M (KN.mm)]]/(Table1123457[[#This Row],[b (mm)]]*Table1123457[[#This Row],[d (mm)]]*Table1123457[[#This Row],[pho (%)]])</f>
        <v>4.6998681599832919</v>
      </c>
      <c r="V8" s="111">
        <f>E8*224.8/(2*SQRT(Table1123457[[#This Row],[fc (Mpa)]]*145.037)*Table1123457[[#This Row],[b (mm)]]*Table1123457[[#This Row],[d (mm)]]*(1/25.4)^2)</f>
        <v>0.99274777846526396</v>
      </c>
      <c r="W8" s="111">
        <f>Table1123457[[#This Row],[M (KN.mm)]]/$G$8</f>
        <v>1</v>
      </c>
      <c r="X8" s="111">
        <f t="shared" si="4"/>
        <v>0.99274777846526396</v>
      </c>
      <c r="Y8" s="111">
        <f>2.95*Table1123457[[#This Row],[d (mm)]]</f>
        <v>2708.1000000000004</v>
      </c>
      <c r="Z8" s="111">
        <v>918</v>
      </c>
      <c r="AA8" s="111">
        <v>1005</v>
      </c>
      <c r="AB8" s="111">
        <v>2016</v>
      </c>
      <c r="AC8" s="7">
        <v>64</v>
      </c>
      <c r="AD8" s="111">
        <f>Table1123457[[#This Row],[pho (%)]]*Table1123457[[#This Row],[b (mm)]]*Table1123457[[#This Row],[h (mm)]]/100</f>
        <v>15398.208000000001</v>
      </c>
      <c r="AE8" s="111">
        <v>0.76</v>
      </c>
      <c r="AF8" s="111">
        <v>525</v>
      </c>
      <c r="AG8" s="111">
        <f>(1/3-0.21*(MIN(Table1123457[[#This Row],[b (mm)]],AA8)/MAX(Table1123457[[#This Row],[b (mm)]],AA8))*(MIN(Table1123457[[#This Row],[b (mm)]],AA8)^4/(12*MAX(Table1123457[[#This Row],[b (mm)]],AA8)^4)))*MAX(Table1123457[[#This Row],[b (mm)]],AA8)*MIN(Table1123457[[#This Row],[b (mm)]],AA8)^3</f>
        <v>681027918417.11316</v>
      </c>
      <c r="AH8" s="111">
        <f>Table1123457[[#This Row],[b (mm)]]*AA8^3/12</f>
        <v>170532621000</v>
      </c>
      <c r="AI8" s="111">
        <v>5400</v>
      </c>
      <c r="AK8" s="107"/>
    </row>
    <row r="9" spans="1:39" x14ac:dyDescent="0.25">
      <c r="A9" s="234" t="s">
        <v>142</v>
      </c>
      <c r="B9" s="234">
        <v>1</v>
      </c>
      <c r="C9" s="185">
        <v>8</v>
      </c>
      <c r="D9" s="185">
        <f>Table1123457[[#This Row],[a (mm)]]/Table1123457[[#This Row],[d (mm)]]</f>
        <v>2.95</v>
      </c>
      <c r="E9" s="235">
        <v>56.6</v>
      </c>
      <c r="F9" s="137">
        <f>Table1123457[[#This Row],[d (mm)]]</f>
        <v>437</v>
      </c>
      <c r="G9" s="111">
        <f t="shared" si="3"/>
        <v>72965.890000000014</v>
      </c>
      <c r="H9" s="111">
        <f t="shared" si="0"/>
        <v>1.2890801216738688E-6</v>
      </c>
      <c r="I9" s="111">
        <f>G9/(Table1123457[[#This Row],[b (mm)]]*Z9^2)</f>
        <v>1.5283295194508013E-3</v>
      </c>
      <c r="J9" s="111">
        <f t="shared" si="1"/>
        <v>0.29644572942136649</v>
      </c>
      <c r="K9" s="111">
        <f t="shared" si="2"/>
        <v>7.3960106658917889E-7</v>
      </c>
      <c r="L9" s="111">
        <f>E9/(Table1123457[[#This Row],[b (mm)]]*Z9)</f>
        <v>5.1807780320366138E-4</v>
      </c>
      <c r="M9" s="111">
        <f>Table1123457[[#This Row],[M (KN.mm)]]/(Table1123457[[#This Row],[b (mm)]]*Table1123457[[#This Row],[d (mm)]])</f>
        <v>0.66788000000000014</v>
      </c>
      <c r="N9" s="111">
        <f>Table1123457[[#This Row],[M (KN.mm)]]/(Table1123457[[#This Row],[b (mm)]]*Table1123457[[#This Row],[h (mm)]])</f>
        <v>0.6223103624733477</v>
      </c>
      <c r="O9" s="111">
        <f>Table1123457[[#This Row],[M (KN.mm)]]/(Table1123457[[#This Row],[b (mm)]]*Table1123457[[#This Row],[h (mm)]]*Table1123457[[#This Row],[L(mm)]])</f>
        <v>2.3935013941282603E-4</v>
      </c>
      <c r="P9" s="111">
        <f>Table1123457[[#This Row],[M (KN.mm)]]/(Table1123457[[#This Row],[b (mm)]]*Table1123457[[#This Row],[d (mm)]]*Table1123457[[#This Row],[L(mm)]])</f>
        <v>2.5687692307692312E-4</v>
      </c>
      <c r="Q9" s="111">
        <f>Table1123457[[#This Row],[M (KN.mm)]]/(Table1123457[[#This Row],[b (mm)]]*Table1123457[[#This Row],[h (mm)]]*Table1123457[[#This Row],[L(mm)]]*Table1123457[[#This Row],[fc (Mpa)]])</f>
        <v>6.3488100640006905E-6</v>
      </c>
      <c r="R9" s="111">
        <f>Table1123457[[#This Row],[M (KN.mm)]]/(Table1123457[[#This Row],[b (mm)]]*Table1123457[[#This Row],[h (mm)]]*Table1123457[[#This Row],[L(mm)]]/2)</f>
        <v>4.7870027882565205E-4</v>
      </c>
      <c r="S9" s="111">
        <f>Table1123457[[#This Row],[M (KN.mm)]]/(Table1123457[[#This Row],[a (mm)]]*Table1123457[[#This Row],[b (mm)]]*Table1123457[[#This Row],[h (mm)]]*Table1123457[[#This Row],[L(mm)]]/2)</f>
        <v>3.7133016237493859E-7</v>
      </c>
      <c r="T9" s="111">
        <f>G9/($AL$5*AH9*0.001*Table1123457[[#This Row],[pho (%)]])</f>
        <v>1.4088307340698019E-6</v>
      </c>
      <c r="U9" s="111">
        <f>Table1123457[[#This Row],[M (KN.mm)]]/(Table1123457[[#This Row],[b (mm)]]*Table1123457[[#This Row],[d (mm)]]*Table1123457[[#This Row],[pho (%)]])</f>
        <v>0.72992349726775974</v>
      </c>
      <c r="V9" s="111">
        <f>E9*224.8/(2*SQRT(Table1123457[[#This Row],[fc (Mpa)]]*145.037)*Table1123457[[#This Row],[b (mm)]]*Table1123457[[#This Row],[d (mm)]]*(1/25.4)^2)</f>
        <v>0.50806426646856939</v>
      </c>
      <c r="W9" s="111">
        <f>Table1123457[[#This Row],[M (KN.mm)]]/$G$15</f>
        <v>0.24716157205240177</v>
      </c>
      <c r="X9" s="111">
        <f t="shared" si="4"/>
        <v>0.50806426646856939</v>
      </c>
      <c r="Y9" s="111">
        <f>2.95*Table1123457[[#This Row],[d (mm)]]</f>
        <v>1289.1500000000001</v>
      </c>
      <c r="Z9" s="111">
        <v>437</v>
      </c>
      <c r="AA9" s="111">
        <v>469</v>
      </c>
      <c r="AB9" s="111">
        <v>250</v>
      </c>
      <c r="AC9" s="7">
        <v>37.700000000000003</v>
      </c>
      <c r="AD9" s="111">
        <f>Table1123457[[#This Row],[pho (%)]]*Table1123457[[#This Row],[b (mm)]]*Table1123457[[#This Row],[h (mm)]]/100</f>
        <v>1072.8375000000001</v>
      </c>
      <c r="AE9" s="111">
        <v>0.91500000000000004</v>
      </c>
      <c r="AF9" s="111">
        <v>525</v>
      </c>
      <c r="AG9" s="111">
        <f>(1/3-0.21*(MIN(Table1123457[[#This Row],[b (mm)]],AA9)/MAX(Table1123457[[#This Row],[b (mm)]],AA9))*(MIN(Table1123457[[#This Row],[b (mm)]],AA9)^4/(12*MAX(Table1123457[[#This Row],[b (mm)]],AA9)^4)))*MAX(Table1123457[[#This Row],[b (mm)]],AA9)*MIN(Table1123457[[#This Row],[b (mm)]],AA9)^3</f>
        <v>2437189252.5972867</v>
      </c>
      <c r="AH9" s="111">
        <f>Table1123457[[#This Row],[b (mm)]]*AA9^3/12</f>
        <v>2149202270.8333335</v>
      </c>
      <c r="AI9" s="111">
        <v>2600</v>
      </c>
      <c r="AK9" s="107"/>
    </row>
    <row r="10" spans="1:39" ht="12.75" customHeight="1" x14ac:dyDescent="0.25">
      <c r="A10" s="234" t="s">
        <v>142</v>
      </c>
      <c r="B10" s="234">
        <v>2</v>
      </c>
      <c r="C10" s="185">
        <v>9</v>
      </c>
      <c r="D10" s="185">
        <f>Table1123457[[#This Row],[a (mm)]]/Table1123457[[#This Row],[d (mm)]]</f>
        <v>2.95</v>
      </c>
      <c r="E10" s="235">
        <v>102</v>
      </c>
      <c r="F10" s="137">
        <f>Table1123457[[#This Row],[d (mm)]]</f>
        <v>437</v>
      </c>
      <c r="G10" s="111">
        <f t="shared" si="3"/>
        <v>131493.30000000002</v>
      </c>
      <c r="H10" s="111">
        <f t="shared" si="0"/>
        <v>2.3230772510730494E-6</v>
      </c>
      <c r="I10" s="111">
        <f>G10/(Table1123457[[#This Row],[b (mm)]]*Z10^2)</f>
        <v>2.7542334096109845E-3</v>
      </c>
      <c r="J10" s="111">
        <f t="shared" si="1"/>
        <v>0.53423081980528941</v>
      </c>
      <c r="K10" s="111">
        <f t="shared" si="2"/>
        <v>1.3328499786589442E-6</v>
      </c>
      <c r="L10" s="111">
        <f>E10/(Table1123457[[#This Row],[b (mm)]]*Z10)</f>
        <v>9.3363844393592674E-4</v>
      </c>
      <c r="M10" s="111">
        <f>Table1123457[[#This Row],[M (KN.mm)]]/(Table1123457[[#This Row],[b (mm)]]*Table1123457[[#This Row],[d (mm)]])</f>
        <v>1.2036000000000002</v>
      </c>
      <c r="N10" s="111">
        <f>Table1123457[[#This Row],[M (KN.mm)]]/(Table1123457[[#This Row],[b (mm)]]*Table1123457[[#This Row],[h (mm)]])</f>
        <v>1.1214780383795311</v>
      </c>
      <c r="O10" s="111">
        <f>Table1123457[[#This Row],[M (KN.mm)]]/(Table1123457[[#This Row],[b (mm)]]*Table1123457[[#This Row],[h (mm)]]*Table1123457[[#This Row],[L(mm)]])</f>
        <v>4.313377070690504E-4</v>
      </c>
      <c r="P10" s="111">
        <f>Table1123457[[#This Row],[M (KN.mm)]]/(Table1123457[[#This Row],[b (mm)]]*Table1123457[[#This Row],[d (mm)]]*Table1123457[[#This Row],[L(mm)]])</f>
        <v>4.6292307692307697E-4</v>
      </c>
      <c r="Q10" s="111">
        <f>Table1123457[[#This Row],[M (KN.mm)]]/(Table1123457[[#This Row],[b (mm)]]*Table1123457[[#This Row],[h (mm)]]*Table1123457[[#This Row],[L(mm)]]*Table1123457[[#This Row],[fc (Mpa)]])</f>
        <v>1.1441318489895236E-5</v>
      </c>
      <c r="R10" s="111">
        <f>Table1123457[[#This Row],[M (KN.mm)]]/(Table1123457[[#This Row],[b (mm)]]*Table1123457[[#This Row],[h (mm)]]*Table1123457[[#This Row],[L(mm)]]/2)</f>
        <v>8.626754141381008E-4</v>
      </c>
      <c r="S10" s="111">
        <f>Table1123457[[#This Row],[M (KN.mm)]]/(Table1123457[[#This Row],[a (mm)]]*Table1123457[[#This Row],[b (mm)]]*Table1123457[[#This Row],[h (mm)]]*Table1123457[[#This Row],[L(mm)]]/2)</f>
        <v>6.691815647039528E-7</v>
      </c>
      <c r="T10" s="111">
        <f>G10/($AL$5*AH10*0.001*Table1123457[[#This Row],[pho (%)]])</f>
        <v>2.5388822416098902E-6</v>
      </c>
      <c r="U10" s="111">
        <f>Table1123457[[#This Row],[M (KN.mm)]]/(Table1123457[[#This Row],[b (mm)]]*Table1123457[[#This Row],[d (mm)]]*Table1123457[[#This Row],[pho (%)]])</f>
        <v>1.3154098360655739</v>
      </c>
      <c r="V10" s="111">
        <f>E10*224.8/(2*SQRT(Table1123457[[#This Row],[fc (Mpa)]]*145.037)*Table1123457[[#This Row],[b (mm)]]*Table1123457[[#This Row],[d (mm)]]*(1/25.4)^2)</f>
        <v>0.91559284769954208</v>
      </c>
      <c r="W10" s="111">
        <f>Table1123457[[#This Row],[M (KN.mm)]]/$G$15</f>
        <v>0.44541484716157204</v>
      </c>
      <c r="X10" s="111">
        <f t="shared" si="4"/>
        <v>0.91559284769954208</v>
      </c>
      <c r="Y10" s="111">
        <f>2.95*Table1123457[[#This Row],[d (mm)]]</f>
        <v>1289.1500000000001</v>
      </c>
      <c r="Z10" s="111">
        <v>437</v>
      </c>
      <c r="AA10" s="111">
        <v>469</v>
      </c>
      <c r="AB10" s="111">
        <v>250</v>
      </c>
      <c r="AC10" s="7">
        <v>37.700000000000003</v>
      </c>
      <c r="AD10" s="111">
        <f>Table1123457[[#This Row],[pho (%)]]*Table1123457[[#This Row],[b (mm)]]*Table1123457[[#This Row],[h (mm)]]/100</f>
        <v>1072.8375000000001</v>
      </c>
      <c r="AE10" s="111">
        <v>0.91500000000000004</v>
      </c>
      <c r="AF10" s="111">
        <v>525</v>
      </c>
      <c r="AG10" s="111">
        <f>(1/3-0.21*(MIN(Table1123457[[#This Row],[b (mm)]],AA10)/MAX(Table1123457[[#This Row],[b (mm)]],AA10))*(MIN(Table1123457[[#This Row],[b (mm)]],AA10)^4/(12*MAX(Table1123457[[#This Row],[b (mm)]],AA10)^4)))*MAX(Table1123457[[#This Row],[b (mm)]],AA10)*MIN(Table1123457[[#This Row],[b (mm)]],AA10)^3</f>
        <v>2437189252.5972867</v>
      </c>
      <c r="AH10" s="111">
        <f>Table1123457[[#This Row],[b (mm)]]*AA10^3/12</f>
        <v>2149202270.8333335</v>
      </c>
      <c r="AI10" s="111">
        <v>2600</v>
      </c>
      <c r="AK10" s="107"/>
    </row>
    <row r="11" spans="1:39" x14ac:dyDescent="0.25">
      <c r="A11" s="234" t="s">
        <v>142</v>
      </c>
      <c r="B11" s="234">
        <v>3</v>
      </c>
      <c r="C11" s="185">
        <v>10</v>
      </c>
      <c r="D11" s="185">
        <f>Table1123457[[#This Row],[a (mm)]]/Table1123457[[#This Row],[d (mm)]]</f>
        <v>2.95</v>
      </c>
      <c r="E11" s="235">
        <v>152</v>
      </c>
      <c r="F11" s="137">
        <f>Table1123457[[#This Row],[d (mm)]]</f>
        <v>437</v>
      </c>
      <c r="G11" s="111">
        <f t="shared" si="3"/>
        <v>195950.80000000002</v>
      </c>
      <c r="H11" s="111">
        <f t="shared" si="0"/>
        <v>3.4618406094421913E-6</v>
      </c>
      <c r="I11" s="111">
        <f>G11/(Table1123457[[#This Row],[b (mm)]]*Z11^2)</f>
        <v>4.104347826086957E-3</v>
      </c>
      <c r="J11" s="111">
        <f t="shared" si="1"/>
        <v>0.79610867265101948</v>
      </c>
      <c r="K11" s="111">
        <f t="shared" si="2"/>
        <v>1.9862078113348971E-6</v>
      </c>
      <c r="L11" s="111">
        <f>E11/(Table1123457[[#This Row],[b (mm)]]*Z11)</f>
        <v>1.3913043478260871E-3</v>
      </c>
      <c r="M11" s="111">
        <f>Table1123457[[#This Row],[M (KN.mm)]]/(Table1123457[[#This Row],[b (mm)]]*Table1123457[[#This Row],[d (mm)]])</f>
        <v>1.7936000000000001</v>
      </c>
      <c r="N11" s="111">
        <f>Table1123457[[#This Row],[M (KN.mm)]]/(Table1123457[[#This Row],[b (mm)]]*Table1123457[[#This Row],[h (mm)]])</f>
        <v>1.6712221748400855</v>
      </c>
      <c r="O11" s="111">
        <f>Table1123457[[#This Row],[M (KN.mm)]]/(Table1123457[[#This Row],[b (mm)]]*Table1123457[[#This Row],[h (mm)]]*Table1123457[[#This Row],[L(mm)]])</f>
        <v>6.4277775955387897E-4</v>
      </c>
      <c r="P11" s="111">
        <f>Table1123457[[#This Row],[M (KN.mm)]]/(Table1123457[[#This Row],[b (mm)]]*Table1123457[[#This Row],[d (mm)]]*Table1123457[[#This Row],[L(mm)]])</f>
        <v>6.8984615384615395E-4</v>
      </c>
      <c r="Q11" s="111">
        <f>Table1123457[[#This Row],[M (KN.mm)]]/(Table1123457[[#This Row],[b (mm)]]*Table1123457[[#This Row],[h (mm)]]*Table1123457[[#This Row],[L(mm)]]*Table1123457[[#This Row],[fc (Mpa)]])</f>
        <v>1.7049807945726234E-5</v>
      </c>
      <c r="R11" s="111">
        <f>Table1123457[[#This Row],[M (KN.mm)]]/(Table1123457[[#This Row],[b (mm)]]*Table1123457[[#This Row],[h (mm)]]*Table1123457[[#This Row],[L(mm)]]/2)</f>
        <v>1.2855555191077579E-3</v>
      </c>
      <c r="S11" s="111">
        <f>Table1123457[[#This Row],[M (KN.mm)]]/(Table1123457[[#This Row],[a (mm)]]*Table1123457[[#This Row],[b (mm)]]*Table1123457[[#This Row],[h (mm)]]*Table1123457[[#This Row],[L(mm)]]/2)</f>
        <v>9.9721174348040034E-7</v>
      </c>
      <c r="T11" s="111">
        <f>G11/($AL$5*AH11*0.001*Table1123457[[#This Row],[pho (%)]])</f>
        <v>3.7834323600461109E-6</v>
      </c>
      <c r="U11" s="111">
        <f>Table1123457[[#This Row],[M (KN.mm)]]/(Table1123457[[#This Row],[b (mm)]]*Table1123457[[#This Row],[d (mm)]]*Table1123457[[#This Row],[pho (%)]])</f>
        <v>1.9602185792349729</v>
      </c>
      <c r="V11" s="111">
        <f>E11*224.8/(2*SQRT(Table1123457[[#This Row],[fc (Mpa)]]*145.037)*Table1123457[[#This Row],[b (mm)]]*Table1123457[[#This Row],[d (mm)]]*(1/25.4)^2)</f>
        <v>1.3644128710816703</v>
      </c>
      <c r="W11" s="111">
        <f>Table1123457[[#This Row],[M (KN.mm)]]/$G$15</f>
        <v>0.66375545851528384</v>
      </c>
      <c r="X11" s="111">
        <f t="shared" si="4"/>
        <v>1.3644128710816703</v>
      </c>
      <c r="Y11" s="111">
        <f>2.95*Table1123457[[#This Row],[d (mm)]]</f>
        <v>1289.1500000000001</v>
      </c>
      <c r="Z11" s="111">
        <v>437</v>
      </c>
      <c r="AA11" s="111">
        <v>469</v>
      </c>
      <c r="AB11" s="111">
        <v>250</v>
      </c>
      <c r="AC11" s="7">
        <v>37.700000000000003</v>
      </c>
      <c r="AD11" s="111">
        <f>Table1123457[[#This Row],[pho (%)]]*Table1123457[[#This Row],[b (mm)]]*Table1123457[[#This Row],[h (mm)]]/100</f>
        <v>1072.8375000000001</v>
      </c>
      <c r="AE11" s="111">
        <v>0.91500000000000004</v>
      </c>
      <c r="AF11" s="111">
        <v>525</v>
      </c>
      <c r="AG11" s="111">
        <f>(1/3-0.21*(MIN(Table1123457[[#This Row],[b (mm)]],AA11)/MAX(Table1123457[[#This Row],[b (mm)]],AA11))*(MIN(Table1123457[[#This Row],[b (mm)]],AA11)^4/(12*MAX(Table1123457[[#This Row],[b (mm)]],AA11)^4)))*MAX(Table1123457[[#This Row],[b (mm)]],AA11)*MIN(Table1123457[[#This Row],[b (mm)]],AA11)^3</f>
        <v>2437189252.5972867</v>
      </c>
      <c r="AH11" s="111">
        <f>Table1123457[[#This Row],[b (mm)]]*AA11^3/12</f>
        <v>2149202270.8333335</v>
      </c>
      <c r="AI11" s="111">
        <v>2600</v>
      </c>
      <c r="AK11" s="107"/>
    </row>
    <row r="12" spans="1:39" ht="17.25" customHeight="1" x14ac:dyDescent="0.25">
      <c r="A12" s="234" t="s">
        <v>142</v>
      </c>
      <c r="B12" s="234">
        <v>4</v>
      </c>
      <c r="C12" s="185">
        <v>11</v>
      </c>
      <c r="D12" s="185">
        <f>Table1123457[[#This Row],[a (mm)]]/Table1123457[[#This Row],[d (mm)]]</f>
        <v>2.95</v>
      </c>
      <c r="E12" s="235">
        <v>179</v>
      </c>
      <c r="F12" s="137">
        <f>Table1123457[[#This Row],[d (mm)]]</f>
        <v>437</v>
      </c>
      <c r="G12" s="111">
        <f t="shared" si="3"/>
        <v>230757.85</v>
      </c>
      <c r="H12" s="111">
        <f t="shared" si="0"/>
        <v>4.0767728229615276E-6</v>
      </c>
      <c r="I12" s="111">
        <f>G12/(Table1123457[[#This Row],[b (mm)]]*Z12^2)</f>
        <v>4.8334096109839816E-3</v>
      </c>
      <c r="J12" s="111">
        <f t="shared" si="1"/>
        <v>0.93752271318771374</v>
      </c>
      <c r="K12" s="111">
        <f t="shared" si="2"/>
        <v>2.3390210409799121E-6</v>
      </c>
      <c r="L12" s="111">
        <f>E12/(Table1123457[[#This Row],[b (mm)]]*Z12)</f>
        <v>1.6384439359267734E-3</v>
      </c>
      <c r="M12" s="111">
        <f>Table1123457[[#This Row],[M (KN.mm)]]/(Table1123457[[#This Row],[b (mm)]]*Table1123457[[#This Row],[d (mm)]])</f>
        <v>2.1122000000000001</v>
      </c>
      <c r="N12" s="111">
        <f>Table1123457[[#This Row],[M (KN.mm)]]/(Table1123457[[#This Row],[b (mm)]]*Table1123457[[#This Row],[h (mm)]])</f>
        <v>1.9680840085287847</v>
      </c>
      <c r="O12" s="111">
        <f>Table1123457[[#This Row],[M (KN.mm)]]/(Table1123457[[#This Row],[b (mm)]]*Table1123457[[#This Row],[h (mm)]]*Table1123457[[#This Row],[L(mm)]])</f>
        <v>7.569553878956864E-4</v>
      </c>
      <c r="P12" s="111">
        <f>Table1123457[[#This Row],[M (KN.mm)]]/(Table1123457[[#This Row],[b (mm)]]*Table1123457[[#This Row],[d (mm)]]*Table1123457[[#This Row],[L(mm)]])</f>
        <v>8.1238461538461542E-4</v>
      </c>
      <c r="Q12" s="111">
        <f>Table1123457[[#This Row],[M (KN.mm)]]/(Table1123457[[#This Row],[b (mm)]]*Table1123457[[#This Row],[h (mm)]]*Table1123457[[#This Row],[L(mm)]]*Table1123457[[#This Row],[fc (Mpa)]])</f>
        <v>2.0078392251874973E-5</v>
      </c>
      <c r="R12" s="111">
        <f>Table1123457[[#This Row],[M (KN.mm)]]/(Table1123457[[#This Row],[b (mm)]]*Table1123457[[#This Row],[h (mm)]]*Table1123457[[#This Row],[L(mm)]]/2)</f>
        <v>1.5139107757913728E-3</v>
      </c>
      <c r="S12" s="111">
        <f>Table1123457[[#This Row],[M (KN.mm)]]/(Table1123457[[#This Row],[a (mm)]]*Table1123457[[#This Row],[b (mm)]]*Table1123457[[#This Row],[h (mm)]]*Table1123457[[#This Row],[L(mm)]]/2)</f>
        <v>1.1743480400196818E-6</v>
      </c>
      <c r="T12" s="111">
        <f>G12/($AL$5*AH12*0.001*Table1123457[[#This Row],[pho (%)]])</f>
        <v>4.45548942400167E-6</v>
      </c>
      <c r="U12" s="111">
        <f>Table1123457[[#This Row],[M (KN.mm)]]/(Table1123457[[#This Row],[b (mm)]]*Table1123457[[#This Row],[d (mm)]]*Table1123457[[#This Row],[pho (%)]])</f>
        <v>2.3084153005464483</v>
      </c>
      <c r="V12" s="111">
        <f>E12*224.8/(2*SQRT(Table1123457[[#This Row],[fc (Mpa)]]*145.037)*Table1123457[[#This Row],[b (mm)]]*Table1123457[[#This Row],[d (mm)]]*(1/25.4)^2)</f>
        <v>1.60677568370802</v>
      </c>
      <c r="W12" s="111">
        <f>Table1123457[[#This Row],[M (KN.mm)]]/$G$15</f>
        <v>0.78165938864628814</v>
      </c>
      <c r="X12" s="111">
        <f t="shared" si="4"/>
        <v>1.60677568370802</v>
      </c>
      <c r="Y12" s="111">
        <f>2.95*Table1123457[[#This Row],[d (mm)]]</f>
        <v>1289.1500000000001</v>
      </c>
      <c r="Z12" s="111">
        <v>437</v>
      </c>
      <c r="AA12" s="111">
        <v>469</v>
      </c>
      <c r="AB12" s="111">
        <v>250</v>
      </c>
      <c r="AC12" s="7">
        <v>37.700000000000003</v>
      </c>
      <c r="AD12" s="111">
        <f>Table1123457[[#This Row],[pho (%)]]*Table1123457[[#This Row],[b (mm)]]*Table1123457[[#This Row],[h (mm)]]/100</f>
        <v>1072.8375000000001</v>
      </c>
      <c r="AE12" s="111">
        <v>0.91500000000000004</v>
      </c>
      <c r="AF12" s="111">
        <v>525</v>
      </c>
      <c r="AG12" s="111">
        <f>(1/3-0.21*(MIN(Table1123457[[#This Row],[b (mm)]],AA12)/MAX(Table1123457[[#This Row],[b (mm)]],AA12))*(MIN(Table1123457[[#This Row],[b (mm)]],AA12)^4/(12*MAX(Table1123457[[#This Row],[b (mm)]],AA12)^4)))*MAX(Table1123457[[#This Row],[b (mm)]],AA12)*MIN(Table1123457[[#This Row],[b (mm)]],AA12)^3</f>
        <v>2437189252.5972867</v>
      </c>
      <c r="AH12" s="111">
        <f>Table1123457[[#This Row],[b (mm)]]*AA12^3/12</f>
        <v>2149202270.8333335</v>
      </c>
      <c r="AI12" s="111">
        <v>2600</v>
      </c>
      <c r="AK12" s="107"/>
    </row>
    <row r="13" spans="1:39" x14ac:dyDescent="0.25">
      <c r="A13" s="234" t="s">
        <v>142</v>
      </c>
      <c r="B13" s="234">
        <v>5</v>
      </c>
      <c r="C13" s="185">
        <v>12</v>
      </c>
      <c r="D13" s="185">
        <f>Table1123457[[#This Row],[a (mm)]]/Table1123457[[#This Row],[d (mm)]]</f>
        <v>2.95</v>
      </c>
      <c r="E13" s="235">
        <v>199</v>
      </c>
      <c r="F13" s="137">
        <f>Table1123457[[#This Row],[d (mm)]]</f>
        <v>437</v>
      </c>
      <c r="G13" s="111">
        <f t="shared" si="3"/>
        <v>256540.85</v>
      </c>
      <c r="H13" s="111">
        <f t="shared" si="0"/>
        <v>4.5322781663091844E-6</v>
      </c>
      <c r="I13" s="111">
        <f>G13/(Table1123457[[#This Row],[b (mm)]]*Z13^2)</f>
        <v>5.3734553775743711E-3</v>
      </c>
      <c r="J13" s="111">
        <f t="shared" si="1"/>
        <v>1.0422738543260057</v>
      </c>
      <c r="K13" s="111">
        <f t="shared" si="2"/>
        <v>2.6003641740502934E-6</v>
      </c>
      <c r="L13" s="111">
        <f>E13/(Table1123457[[#This Row],[b (mm)]]*Z13)</f>
        <v>1.8215102974828376E-3</v>
      </c>
      <c r="M13" s="111">
        <f>Table1123457[[#This Row],[M (KN.mm)]]/(Table1123457[[#This Row],[b (mm)]]*Table1123457[[#This Row],[d (mm)]])</f>
        <v>2.3481999999999998</v>
      </c>
      <c r="N13" s="111">
        <f>Table1123457[[#This Row],[M (KN.mm)]]/(Table1123457[[#This Row],[b (mm)]]*Table1123457[[#This Row],[h (mm)]])</f>
        <v>2.1879816631130065</v>
      </c>
      <c r="O13" s="111">
        <f>Table1123457[[#This Row],[M (KN.mm)]]/(Table1123457[[#This Row],[b (mm)]]*Table1123457[[#This Row],[h (mm)]]*Table1123457[[#This Row],[L(mm)]])</f>
        <v>8.4153140888961787E-4</v>
      </c>
      <c r="P13" s="111">
        <f>Table1123457[[#This Row],[M (KN.mm)]]/(Table1123457[[#This Row],[b (mm)]]*Table1123457[[#This Row],[d (mm)]]*Table1123457[[#This Row],[L(mm)]])</f>
        <v>9.0315384615384617E-4</v>
      </c>
      <c r="Q13" s="111">
        <f>Table1123457[[#This Row],[M (KN.mm)]]/(Table1123457[[#This Row],[b (mm)]]*Table1123457[[#This Row],[h (mm)]]*Table1123457[[#This Row],[L(mm)]]*Table1123457[[#This Row],[fc (Mpa)]])</f>
        <v>2.2321788034207369E-5</v>
      </c>
      <c r="R13" s="111">
        <f>Table1123457[[#This Row],[M (KN.mm)]]/(Table1123457[[#This Row],[b (mm)]]*Table1123457[[#This Row],[h (mm)]]*Table1123457[[#This Row],[L(mm)]]/2)</f>
        <v>1.6830628177792357E-3</v>
      </c>
      <c r="S13" s="111">
        <f>Table1123457[[#This Row],[M (KN.mm)]]/(Table1123457[[#This Row],[a (mm)]]*Table1123457[[#This Row],[b (mm)]]*Table1123457[[#This Row],[h (mm)]]*Table1123457[[#This Row],[L(mm)]]/2)</f>
        <v>1.3055601115302607E-6</v>
      </c>
      <c r="T13" s="111">
        <f>G13/($AL$5*AH13*0.001*Table1123457[[#This Row],[pho (%)]])</f>
        <v>4.9533094713761578E-6</v>
      </c>
      <c r="U13" s="111">
        <f>Table1123457[[#This Row],[M (KN.mm)]]/(Table1123457[[#This Row],[b (mm)]]*Table1123457[[#This Row],[d (mm)]]*Table1123457[[#This Row],[pho (%)]])</f>
        <v>2.5663387978142076</v>
      </c>
      <c r="V13" s="111">
        <f>E13*224.8/(2*SQRT(Table1123457[[#This Row],[fc (Mpa)]]*145.037)*Table1123457[[#This Row],[b (mm)]]*Table1123457[[#This Row],[d (mm)]]*(1/25.4)^2)</f>
        <v>1.7863036930608713</v>
      </c>
      <c r="W13" s="111">
        <f>Table1123457[[#This Row],[M (KN.mm)]]/$G$15</f>
        <v>0.86899563318777284</v>
      </c>
      <c r="X13" s="111">
        <f t="shared" si="4"/>
        <v>1.7863036930608713</v>
      </c>
      <c r="Y13" s="111">
        <f>2.95*Table1123457[[#This Row],[d (mm)]]</f>
        <v>1289.1500000000001</v>
      </c>
      <c r="Z13" s="111">
        <v>437</v>
      </c>
      <c r="AA13" s="111">
        <v>469</v>
      </c>
      <c r="AB13" s="111">
        <v>250</v>
      </c>
      <c r="AC13" s="7">
        <v>37.700000000000003</v>
      </c>
      <c r="AD13" s="111">
        <f>Table1123457[[#This Row],[pho (%)]]*Table1123457[[#This Row],[b (mm)]]*Table1123457[[#This Row],[h (mm)]]/100</f>
        <v>1072.8375000000001</v>
      </c>
      <c r="AE13" s="111">
        <v>0.91500000000000004</v>
      </c>
      <c r="AF13" s="160">
        <v>525</v>
      </c>
      <c r="AG13" s="111">
        <f>(1/3-0.21*(MIN(Table1123457[[#This Row],[b (mm)]],AA13)/MAX(Table1123457[[#This Row],[b (mm)]],AA13))*(MIN(Table1123457[[#This Row],[b (mm)]],AA13)^4/(12*MAX(Table1123457[[#This Row],[b (mm)]],AA13)^4)))*MAX(Table1123457[[#This Row],[b (mm)]],AA13)*MIN(Table1123457[[#This Row],[b (mm)]],AA13)^3</f>
        <v>2437189252.5972867</v>
      </c>
      <c r="AH13" s="111">
        <f>Table1123457[[#This Row],[b (mm)]]*AA13^3/12</f>
        <v>2149202270.8333335</v>
      </c>
      <c r="AI13" s="111">
        <v>2600</v>
      </c>
      <c r="AK13" s="107"/>
    </row>
    <row r="14" spans="1:39" x14ac:dyDescent="0.25">
      <c r="A14" s="234" t="s">
        <v>142</v>
      </c>
      <c r="B14" s="234">
        <v>6</v>
      </c>
      <c r="C14" s="185">
        <v>13</v>
      </c>
      <c r="D14" s="185">
        <f>Table1123457[[#This Row],[a (mm)]]/Table1123457[[#This Row],[d (mm)]]</f>
        <v>2.95</v>
      </c>
      <c r="E14" s="235">
        <v>219</v>
      </c>
      <c r="F14" s="137">
        <f>Table1123457[[#This Row],[d (mm)]]</f>
        <v>437</v>
      </c>
      <c r="G14" s="111">
        <f t="shared" si="3"/>
        <v>282323.85000000003</v>
      </c>
      <c r="H14" s="111">
        <f t="shared" si="0"/>
        <v>4.987783509656842E-6</v>
      </c>
      <c r="I14" s="111">
        <f>G14/(Table1123457[[#This Row],[b (mm)]]*Z14^2)</f>
        <v>5.9135011441647607E-3</v>
      </c>
      <c r="J14" s="111">
        <f t="shared" si="1"/>
        <v>1.1470249954642979</v>
      </c>
      <c r="K14" s="111">
        <f t="shared" si="2"/>
        <v>2.8617073071206742E-6</v>
      </c>
      <c r="L14" s="111">
        <f>E14/(Table1123457[[#This Row],[b (mm)]]*Z14)</f>
        <v>2.0045766590389017E-3</v>
      </c>
      <c r="M14" s="111">
        <f>Table1123457[[#This Row],[M (KN.mm)]]/(Table1123457[[#This Row],[b (mm)]]*Table1123457[[#This Row],[d (mm)]])</f>
        <v>2.5842000000000005</v>
      </c>
      <c r="N14" s="111">
        <f>Table1123457[[#This Row],[M (KN.mm)]]/(Table1123457[[#This Row],[b (mm)]]*Table1123457[[#This Row],[h (mm)]])</f>
        <v>2.4078793176972284</v>
      </c>
      <c r="O14" s="111">
        <f>Table1123457[[#This Row],[M (KN.mm)]]/(Table1123457[[#This Row],[b (mm)]]*Table1123457[[#This Row],[h (mm)]]*Table1123457[[#This Row],[L(mm)]])</f>
        <v>9.2610742988354945E-4</v>
      </c>
      <c r="P14" s="111">
        <f>Table1123457[[#This Row],[M (KN.mm)]]/(Table1123457[[#This Row],[b (mm)]]*Table1123457[[#This Row],[d (mm)]]*Table1123457[[#This Row],[L(mm)]])</f>
        <v>9.9392307692307714E-4</v>
      </c>
      <c r="Q14" s="111">
        <f>Table1123457[[#This Row],[M (KN.mm)]]/(Table1123457[[#This Row],[b (mm)]]*Table1123457[[#This Row],[h (mm)]]*Table1123457[[#This Row],[L(mm)]]*Table1123457[[#This Row],[fc (Mpa)]])</f>
        <v>2.4565183816539771E-5</v>
      </c>
      <c r="R14" s="111">
        <f>Table1123457[[#This Row],[M (KN.mm)]]/(Table1123457[[#This Row],[b (mm)]]*Table1123457[[#This Row],[h (mm)]]*Table1123457[[#This Row],[L(mm)]]/2)</f>
        <v>1.8522148597670989E-3</v>
      </c>
      <c r="S14" s="111">
        <f>Table1123457[[#This Row],[M (KN.mm)]]/(Table1123457[[#This Row],[a (mm)]]*Table1123457[[#This Row],[b (mm)]]*Table1123457[[#This Row],[h (mm)]]*Table1123457[[#This Row],[L(mm)]]/2)</f>
        <v>1.4367721830408399E-6</v>
      </c>
      <c r="T14" s="111">
        <f>G14/($AL$5*AH14*0.001*Table1123457[[#This Row],[pho (%)]])</f>
        <v>5.4511295187506464E-6</v>
      </c>
      <c r="U14" s="111">
        <f>Table1123457[[#This Row],[M (KN.mm)]]/(Table1123457[[#This Row],[b (mm)]]*Table1123457[[#This Row],[d (mm)]]*Table1123457[[#This Row],[pho (%)]])</f>
        <v>2.8242622950819674</v>
      </c>
      <c r="V14" s="111">
        <f>E14*224.8/(2*SQRT(Table1123457[[#This Row],[fc (Mpa)]]*145.037)*Table1123457[[#This Row],[b (mm)]]*Table1123457[[#This Row],[d (mm)]]*(1/25.4)^2)</f>
        <v>1.9658317024137226</v>
      </c>
      <c r="W14" s="111">
        <f>Table1123457[[#This Row],[M (KN.mm)]]/$G$15</f>
        <v>0.95633187772925765</v>
      </c>
      <c r="X14" s="111">
        <f t="shared" si="4"/>
        <v>1.9658317024137226</v>
      </c>
      <c r="Y14" s="111">
        <f>2.95*Table1123457[[#This Row],[d (mm)]]</f>
        <v>1289.1500000000001</v>
      </c>
      <c r="Z14" s="111">
        <v>437</v>
      </c>
      <c r="AA14" s="111">
        <v>469</v>
      </c>
      <c r="AB14" s="111">
        <v>250</v>
      </c>
      <c r="AC14" s="7">
        <v>37.700000000000003</v>
      </c>
      <c r="AD14" s="111">
        <f>Table1123457[[#This Row],[pho (%)]]*Table1123457[[#This Row],[b (mm)]]*Table1123457[[#This Row],[h (mm)]]/100</f>
        <v>1072.8375000000001</v>
      </c>
      <c r="AE14" s="111">
        <v>0.91500000000000004</v>
      </c>
      <c r="AF14" s="160">
        <v>525</v>
      </c>
      <c r="AG14" s="111">
        <f>(1/3-0.21*(MIN(Table1123457[[#This Row],[b (mm)]],AA14)/MAX(Table1123457[[#This Row],[b (mm)]],AA14))*(MIN(Table1123457[[#This Row],[b (mm)]],AA14)^4/(12*MAX(Table1123457[[#This Row],[b (mm)]],AA14)^4)))*MAX(Table1123457[[#This Row],[b (mm)]],AA14)*MIN(Table1123457[[#This Row],[b (mm)]],AA14)^3</f>
        <v>2437189252.5972867</v>
      </c>
      <c r="AH14" s="111">
        <f>Table1123457[[#This Row],[b (mm)]]*AA14^3/12</f>
        <v>2149202270.8333335</v>
      </c>
      <c r="AI14" s="111">
        <v>2600</v>
      </c>
      <c r="AK14" s="107"/>
    </row>
    <row r="15" spans="1:39" x14ac:dyDescent="0.25">
      <c r="A15" s="234" t="s">
        <v>142</v>
      </c>
      <c r="B15" s="234" t="s">
        <v>141</v>
      </c>
      <c r="C15" s="185">
        <v>14</v>
      </c>
      <c r="D15" s="185">
        <f>Table1123457[[#This Row],[a (mm)]]/Table1123457[[#This Row],[d (mm)]]</f>
        <v>2.95</v>
      </c>
      <c r="E15" s="235">
        <v>229</v>
      </c>
      <c r="F15" s="137">
        <f>Table1123457[[#This Row],[d (mm)]]</f>
        <v>437</v>
      </c>
      <c r="G15" s="111">
        <f t="shared" si="3"/>
        <v>295215.35000000003</v>
      </c>
      <c r="H15" s="111">
        <f t="shared" si="0"/>
        <v>5.2155361813306699E-6</v>
      </c>
      <c r="I15" s="111">
        <f>G15/(Table1123457[[#This Row],[b (mm)]]*Z15^2)</f>
        <v>6.1835240274599546E-3</v>
      </c>
      <c r="J15" s="111">
        <f t="shared" si="1"/>
        <v>1.1994005660334439</v>
      </c>
      <c r="K15" s="111">
        <f t="shared" si="2"/>
        <v>2.9923788736558651E-6</v>
      </c>
      <c r="L15" s="111">
        <f>E15/(Table1123457[[#This Row],[b (mm)]]*Z15)</f>
        <v>2.0961098398169335E-3</v>
      </c>
      <c r="M15" s="111">
        <f>Table1123457[[#This Row],[M (KN.mm)]]/(Table1123457[[#This Row],[b (mm)]]*Table1123457[[#This Row],[d (mm)]])</f>
        <v>2.7022000000000004</v>
      </c>
      <c r="N15" s="111">
        <f>Table1123457[[#This Row],[M (KN.mm)]]/(Table1123457[[#This Row],[b (mm)]]*Table1123457[[#This Row],[h (mm)]])</f>
        <v>2.5178281449893394</v>
      </c>
      <c r="O15" s="111">
        <f>Table1123457[[#This Row],[M (KN.mm)]]/(Table1123457[[#This Row],[b (mm)]]*Table1123457[[#This Row],[h (mm)]]*Table1123457[[#This Row],[L(mm)]])</f>
        <v>9.6839544038051508E-4</v>
      </c>
      <c r="P15" s="111">
        <f>Table1123457[[#This Row],[M (KN.mm)]]/(Table1123457[[#This Row],[b (mm)]]*Table1123457[[#This Row],[d (mm)]]*Table1123457[[#This Row],[L(mm)]])</f>
        <v>1.0393076923076925E-3</v>
      </c>
      <c r="Q15" s="111">
        <f>Table1123457[[#This Row],[M (KN.mm)]]/(Table1123457[[#This Row],[b (mm)]]*Table1123457[[#This Row],[h (mm)]]*Table1123457[[#This Row],[L(mm)]]*Table1123457[[#This Row],[fc (Mpa)]])</f>
        <v>2.5686881707705973E-5</v>
      </c>
      <c r="R15" s="111">
        <f>Table1123457[[#This Row],[M (KN.mm)]]/(Table1123457[[#This Row],[b (mm)]]*Table1123457[[#This Row],[h (mm)]]*Table1123457[[#This Row],[L(mm)]]/2)</f>
        <v>1.9367908807610302E-3</v>
      </c>
      <c r="S15" s="111">
        <f>Table1123457[[#This Row],[M (KN.mm)]]/(Table1123457[[#This Row],[a (mm)]]*Table1123457[[#This Row],[b (mm)]]*Table1123457[[#This Row],[h (mm)]]*Table1123457[[#This Row],[L(mm)]]/2)</f>
        <v>1.5023782187961294E-6</v>
      </c>
      <c r="T15" s="111">
        <f>G15/($AL$5*AH15*0.001*Table1123457[[#This Row],[pho (%)]])</f>
        <v>5.7000395424378908E-6</v>
      </c>
      <c r="U15" s="111">
        <f>Table1123457[[#This Row],[M (KN.mm)]]/(Table1123457[[#This Row],[b (mm)]]*Table1123457[[#This Row],[d (mm)]]*Table1123457[[#This Row],[pho (%)]])</f>
        <v>2.9532240437158475</v>
      </c>
      <c r="V15" s="111">
        <f>E15*224.8/(2*SQRT(Table1123457[[#This Row],[fc (Mpa)]]*145.037)*Table1123457[[#This Row],[b (mm)]]*Table1123457[[#This Row],[d (mm)]]*(1/25.4)^2)</f>
        <v>2.0555957070901485</v>
      </c>
      <c r="W15" s="111">
        <f>Table1123457[[#This Row],[M (KN.mm)]]/$G$15</f>
        <v>1</v>
      </c>
      <c r="X15" s="111">
        <f t="shared" si="4"/>
        <v>2.0555957070901485</v>
      </c>
      <c r="Y15" s="111">
        <f>2.95*Table1123457[[#This Row],[d (mm)]]</f>
        <v>1289.1500000000001</v>
      </c>
      <c r="Z15" s="111">
        <v>437</v>
      </c>
      <c r="AA15" s="111">
        <v>469</v>
      </c>
      <c r="AB15" s="111">
        <v>250</v>
      </c>
      <c r="AC15" s="7">
        <v>37.700000000000003</v>
      </c>
      <c r="AD15" s="111">
        <f>Table1123457[[#This Row],[pho (%)]]*Table1123457[[#This Row],[b (mm)]]*Table1123457[[#This Row],[h (mm)]]/100</f>
        <v>1072.8375000000001</v>
      </c>
      <c r="AE15" s="111">
        <v>0.91500000000000004</v>
      </c>
      <c r="AF15" s="160">
        <v>525</v>
      </c>
      <c r="AG15" s="111">
        <f>(1/3-0.21*(MIN(Table1123457[[#This Row],[b (mm)]],AA15)/MAX(Table1123457[[#This Row],[b (mm)]],AA15))*(MIN(Table1123457[[#This Row],[b (mm)]],AA15)^4/(12*MAX(Table1123457[[#This Row],[b (mm)]],AA15)^4)))*MAX(Table1123457[[#This Row],[b (mm)]],AA15)*MIN(Table1123457[[#This Row],[b (mm)]],AA15)^3</f>
        <v>2437189252.5972867</v>
      </c>
      <c r="AH15" s="111">
        <f>Table1123457[[#This Row],[b (mm)]]*AA15^3/12</f>
        <v>2149202270.8333335</v>
      </c>
      <c r="AI15" s="111">
        <v>2600</v>
      </c>
      <c r="AK15" s="107"/>
    </row>
    <row r="16" spans="1:39" x14ac:dyDescent="0.25">
      <c r="A16" s="236" t="s">
        <v>143</v>
      </c>
      <c r="B16" s="236">
        <v>1</v>
      </c>
      <c r="C16" s="185">
        <v>15</v>
      </c>
      <c r="D16" s="185">
        <f>Table1123457[[#This Row],[a (mm)]]/Table1123457[[#This Row],[d (mm)]]</f>
        <v>2.9500000000000006</v>
      </c>
      <c r="E16" s="237">
        <v>100</v>
      </c>
      <c r="F16" s="137">
        <f>Table1123457[[#This Row],[d (mm)]]</f>
        <v>439</v>
      </c>
      <c r="G16" s="111">
        <f t="shared" si="3"/>
        <v>129505.00000000001</v>
      </c>
      <c r="H16" s="111">
        <f t="shared" si="0"/>
        <v>2.2589279042546216E-6</v>
      </c>
      <c r="I16" s="111">
        <f>G16/(Table1123457[[#This Row],[b (mm)]]*Z16^2)</f>
        <v>2.6879271070615039E-3</v>
      </c>
      <c r="J16" s="111">
        <f t="shared" si="1"/>
        <v>0.52787776140462017</v>
      </c>
      <c r="K16" s="111">
        <f t="shared" si="2"/>
        <v>1.3011049518927962E-6</v>
      </c>
      <c r="L16" s="111">
        <f>E16/(Table1123457[[#This Row],[b (mm)]]*Z16)</f>
        <v>9.1116173120728934E-4</v>
      </c>
      <c r="M16" s="111">
        <f>Table1123457[[#This Row],[M (KN.mm)]]/(Table1123457[[#This Row],[b (mm)]]*Table1123457[[#This Row],[d (mm)]])</f>
        <v>1.1800000000000002</v>
      </c>
      <c r="N16" s="111">
        <f>Table1123457[[#This Row],[M (KN.mm)]]/(Table1123457[[#This Row],[b (mm)]]*Table1123457[[#This Row],[h (mm)]])</f>
        <v>1.0998301486199578</v>
      </c>
      <c r="O16" s="111">
        <f>Table1123457[[#This Row],[M (KN.mm)]]/(Table1123457[[#This Row],[b (mm)]]*Table1123457[[#This Row],[h (mm)]]*Table1123457[[#This Row],[L(mm)]])</f>
        <v>4.2301159562306063E-4</v>
      </c>
      <c r="P16" s="111">
        <f>Table1123457[[#This Row],[M (KN.mm)]]/(Table1123457[[#This Row],[b (mm)]]*Table1123457[[#This Row],[d (mm)]]*Table1123457[[#This Row],[L(mm)]])</f>
        <v>4.5384615384615391E-4</v>
      </c>
      <c r="Q16" s="111">
        <f>Table1123457[[#This Row],[M (KN.mm)]]/(Table1123457[[#This Row],[b (mm)]]*Table1123457[[#This Row],[h (mm)]]*Table1123457[[#This Row],[L(mm)]]*Table1123457[[#This Row],[fc (Mpa)]])</f>
        <v>1.0987314172027549E-5</v>
      </c>
      <c r="R16" s="111">
        <f>Table1123457[[#This Row],[M (KN.mm)]]/(Table1123457[[#This Row],[b (mm)]]*Table1123457[[#This Row],[h (mm)]]*Table1123457[[#This Row],[L(mm)]]/2)</f>
        <v>8.4602319124612126E-4</v>
      </c>
      <c r="S16" s="111">
        <f>Table1123457[[#This Row],[M (KN.mm)]]/(Table1123457[[#This Row],[a (mm)]]*Table1123457[[#This Row],[b (mm)]]*Table1123457[[#This Row],[h (mm)]]*Table1123457[[#This Row],[L(mm)]]/2)</f>
        <v>6.5327453862485708E-7</v>
      </c>
      <c r="T16" s="111">
        <f>G16/($AL$5*AH16*0.001*Table1123457[[#This Row],[pho (%)]])</f>
        <v>2.4988140533790059E-6</v>
      </c>
      <c r="U16" s="111">
        <f>Table1123457[[#This Row],[M (KN.mm)]]/(Table1123457[[#This Row],[b (mm)]]*Table1123457[[#This Row],[d (mm)]]*Table1123457[[#This Row],[pho (%)]])</f>
        <v>1.3053097345132745</v>
      </c>
      <c r="V16" s="111">
        <f>E16*224.8/(2*SQRT(Table1123457[[#This Row],[fc (Mpa)]]*145.037)*Table1123457[[#This Row],[b (mm)]]*Table1123457[[#This Row],[d (mm)]]*(1/25.4)^2)</f>
        <v>0.884218193805275</v>
      </c>
      <c r="W16" s="111">
        <f>Table1123457[[#This Row],[M (KN.mm)]]/$G$21</f>
        <v>0.4464285714285714</v>
      </c>
      <c r="X16" s="111">
        <f t="shared" si="4"/>
        <v>0.884218193805275</v>
      </c>
      <c r="Y16" s="111">
        <f>2.95*Table1123457[[#This Row],[d (mm)]]</f>
        <v>1295.0500000000002</v>
      </c>
      <c r="Z16" s="111">
        <v>439</v>
      </c>
      <c r="AA16" s="111">
        <v>471</v>
      </c>
      <c r="AB16" s="111">
        <v>250</v>
      </c>
      <c r="AC16" s="7">
        <v>38.5</v>
      </c>
      <c r="AD16" s="111">
        <f>Table1123457[[#This Row],[pho (%)]]*Table1123457[[#This Row],[b (mm)]]*Table1123457[[#This Row],[h (mm)]]/100</f>
        <v>1064.46</v>
      </c>
      <c r="AE16" s="160">
        <v>0.90400000000000003</v>
      </c>
      <c r="AF16" s="160">
        <v>525</v>
      </c>
      <c r="AG16" s="111">
        <f>(1/3-0.21*(MIN(Table1123457[[#This Row],[b (mm)]],AA16)/MAX(Table1123457[[#This Row],[b (mm)]],AA16))*(MIN(Table1123457[[#This Row],[b (mm)]],AA16)^4/(12*MAX(Table1123457[[#This Row],[b (mm)]],AA16)^4)))*MAX(Table1123457[[#This Row],[b (mm)]],AA16)*MIN(Table1123457[[#This Row],[b (mm)]],AA16)^3</f>
        <v>2447699066.2153602</v>
      </c>
      <c r="AH16" s="111">
        <f>Table1123457[[#This Row],[b (mm)]]*AA16^3/12</f>
        <v>2176814812.5</v>
      </c>
      <c r="AI16" s="111">
        <v>2600</v>
      </c>
      <c r="AK16" s="107"/>
    </row>
    <row r="17" spans="1:39" x14ac:dyDescent="0.25">
      <c r="A17" s="236" t="s">
        <v>143</v>
      </c>
      <c r="B17" s="236">
        <v>2</v>
      </c>
      <c r="C17" s="185">
        <v>16</v>
      </c>
      <c r="D17" s="185">
        <f>Table1123457[[#This Row],[a (mm)]]/Table1123457[[#This Row],[d (mm)]]</f>
        <v>2.9500000000000006</v>
      </c>
      <c r="E17" s="237">
        <v>150</v>
      </c>
      <c r="F17" s="137">
        <f>Table1123457[[#This Row],[d (mm)]]</f>
        <v>439</v>
      </c>
      <c r="G17" s="111">
        <f t="shared" si="3"/>
        <v>194257.50000000003</v>
      </c>
      <c r="H17" s="111">
        <f t="shared" si="0"/>
        <v>3.3883918563819324E-6</v>
      </c>
      <c r="I17" s="111">
        <f>G17/(Table1123457[[#This Row],[b (mm)]]*Z17^2)</f>
        <v>4.031890660592256E-3</v>
      </c>
      <c r="J17" s="111">
        <f t="shared" si="1"/>
        <v>0.79181664210693026</v>
      </c>
      <c r="K17" s="111">
        <f t="shared" si="2"/>
        <v>1.9516574278391942E-6</v>
      </c>
      <c r="L17" s="111">
        <f>E17/(Table1123457[[#This Row],[b (mm)]]*Z17)</f>
        <v>1.366742596810934E-3</v>
      </c>
      <c r="M17" s="111">
        <f>Table1123457[[#This Row],[M (KN.mm)]]/(Table1123457[[#This Row],[b (mm)]]*Table1123457[[#This Row],[d (mm)]])</f>
        <v>1.7700000000000002</v>
      </c>
      <c r="N17" s="111">
        <f>Table1123457[[#This Row],[M (KN.mm)]]/(Table1123457[[#This Row],[b (mm)]]*Table1123457[[#This Row],[h (mm)]])</f>
        <v>1.6497452229299365</v>
      </c>
      <c r="O17" s="111">
        <f>Table1123457[[#This Row],[M (KN.mm)]]/(Table1123457[[#This Row],[b (mm)]]*Table1123457[[#This Row],[h (mm)]]*Table1123457[[#This Row],[L(mm)]])</f>
        <v>6.3451739343459103E-4</v>
      </c>
      <c r="P17" s="111">
        <f>Table1123457[[#This Row],[M (KN.mm)]]/(Table1123457[[#This Row],[b (mm)]]*Table1123457[[#This Row],[d (mm)]]*Table1123457[[#This Row],[L(mm)]])</f>
        <v>6.8076923076923089E-4</v>
      </c>
      <c r="Q17" s="111">
        <f>Table1123457[[#This Row],[M (KN.mm)]]/(Table1123457[[#This Row],[b (mm)]]*Table1123457[[#This Row],[h (mm)]]*Table1123457[[#This Row],[L(mm)]]*Table1123457[[#This Row],[fc (Mpa)]])</f>
        <v>1.6480971258041324E-5</v>
      </c>
      <c r="R17" s="111">
        <f>Table1123457[[#This Row],[M (KN.mm)]]/(Table1123457[[#This Row],[b (mm)]]*Table1123457[[#This Row],[h (mm)]]*Table1123457[[#This Row],[L(mm)]]/2)</f>
        <v>1.2690347868691821E-3</v>
      </c>
      <c r="S17" s="111">
        <f>Table1123457[[#This Row],[M (KN.mm)]]/(Table1123457[[#This Row],[a (mm)]]*Table1123457[[#This Row],[b (mm)]]*Table1123457[[#This Row],[h (mm)]]*Table1123457[[#This Row],[L(mm)]]/2)</f>
        <v>9.7991180793728567E-7</v>
      </c>
      <c r="T17" s="111">
        <f>G17/($AL$5*AH17*0.001*Table1123457[[#This Row],[pho (%)]])</f>
        <v>3.7482210800685091E-6</v>
      </c>
      <c r="U17" s="111">
        <f>Table1123457[[#This Row],[M (KN.mm)]]/(Table1123457[[#This Row],[b (mm)]]*Table1123457[[#This Row],[d (mm)]]*Table1123457[[#This Row],[pho (%)]])</f>
        <v>1.9579646017699117</v>
      </c>
      <c r="V17" s="111">
        <f>E17*224.8/(2*SQRT(Table1123457[[#This Row],[fc (Mpa)]]*145.037)*Table1123457[[#This Row],[b (mm)]]*Table1123457[[#This Row],[d (mm)]]*(1/25.4)^2)</f>
        <v>1.3263272907079127</v>
      </c>
      <c r="W17" s="111">
        <f>Table1123457[[#This Row],[M (KN.mm)]]/$G$21</f>
        <v>0.6696428571428571</v>
      </c>
      <c r="X17" s="111">
        <f t="shared" si="4"/>
        <v>1.3263272907079127</v>
      </c>
      <c r="Y17" s="111">
        <f>2.95*Table1123457[[#This Row],[d (mm)]]</f>
        <v>1295.0500000000002</v>
      </c>
      <c r="Z17" s="111">
        <v>439</v>
      </c>
      <c r="AA17" s="111">
        <v>471</v>
      </c>
      <c r="AB17" s="111">
        <v>250</v>
      </c>
      <c r="AC17" s="7">
        <v>38.5</v>
      </c>
      <c r="AD17" s="111">
        <f>Table1123457[[#This Row],[pho (%)]]*Table1123457[[#This Row],[b (mm)]]*Table1123457[[#This Row],[h (mm)]]/100</f>
        <v>1064.46</v>
      </c>
      <c r="AE17" s="160">
        <v>0.90400000000000003</v>
      </c>
      <c r="AF17" s="160">
        <v>525</v>
      </c>
      <c r="AG17" s="111">
        <f>(1/3-0.21*(MIN(Table1123457[[#This Row],[b (mm)]],AA17)/MAX(Table1123457[[#This Row],[b (mm)]],AA17))*(MIN(Table1123457[[#This Row],[b (mm)]],AA17)^4/(12*MAX(Table1123457[[#This Row],[b (mm)]],AA17)^4)))*MAX(Table1123457[[#This Row],[b (mm)]],AA17)*MIN(Table1123457[[#This Row],[b (mm)]],AA17)^3</f>
        <v>2447699066.2153602</v>
      </c>
      <c r="AH17" s="111">
        <f>Table1123457[[#This Row],[b (mm)]]*AA17^3/12</f>
        <v>2176814812.5</v>
      </c>
      <c r="AI17" s="111">
        <v>2600</v>
      </c>
      <c r="AK17" s="107"/>
    </row>
    <row r="18" spans="1:39" s="129" customFormat="1" x14ac:dyDescent="0.25">
      <c r="A18" s="236" t="s">
        <v>143</v>
      </c>
      <c r="B18" s="236">
        <v>3</v>
      </c>
      <c r="C18" s="185">
        <v>17</v>
      </c>
      <c r="D18" s="185">
        <f>Table1123457[[#This Row],[a (mm)]]/Table1123457[[#This Row],[d (mm)]]</f>
        <v>2.9500000000000006</v>
      </c>
      <c r="E18" s="237">
        <v>181</v>
      </c>
      <c r="F18" s="137">
        <f>Table1123457[[#This Row],[d (mm)]]</f>
        <v>439</v>
      </c>
      <c r="G18" s="111">
        <f t="shared" si="3"/>
        <v>234404.05000000005</v>
      </c>
      <c r="H18" s="111">
        <f t="shared" si="0"/>
        <v>4.0886595067008653E-6</v>
      </c>
      <c r="I18" s="111">
        <f>G18/(Table1123457[[#This Row],[b (mm)]]*Z18^2)</f>
        <v>4.8651480637813219E-3</v>
      </c>
      <c r="J18" s="111">
        <f t="shared" si="1"/>
        <v>0.95545874814236254</v>
      </c>
      <c r="K18" s="111">
        <f t="shared" si="2"/>
        <v>2.3549999629259611E-6</v>
      </c>
      <c r="L18" s="111">
        <f>E18/(Table1123457[[#This Row],[b (mm)]]*Z18)</f>
        <v>1.6492027334851936E-3</v>
      </c>
      <c r="M18" s="111">
        <f>Table1123457[[#This Row],[M (KN.mm)]]/(Table1123457[[#This Row],[b (mm)]]*Table1123457[[#This Row],[d (mm)]])</f>
        <v>2.1358000000000006</v>
      </c>
      <c r="N18" s="111">
        <f>Table1123457[[#This Row],[M (KN.mm)]]/(Table1123457[[#This Row],[b (mm)]]*Table1123457[[#This Row],[h (mm)]])</f>
        <v>1.9906925690021235</v>
      </c>
      <c r="O18" s="111">
        <f>Table1123457[[#This Row],[M (KN.mm)]]/(Table1123457[[#This Row],[b (mm)]]*Table1123457[[#This Row],[h (mm)]]*Table1123457[[#This Row],[L(mm)]])</f>
        <v>7.6565098807773984E-4</v>
      </c>
      <c r="P18" s="111">
        <f>Table1123457[[#This Row],[M (KN.mm)]]/(Table1123457[[#This Row],[b (mm)]]*Table1123457[[#This Row],[d (mm)]]*Table1123457[[#This Row],[L(mm)]])</f>
        <v>8.214615384615386E-4</v>
      </c>
      <c r="Q18" s="111">
        <f>Table1123457[[#This Row],[M (KN.mm)]]/(Table1123457[[#This Row],[b (mm)]]*Table1123457[[#This Row],[h (mm)]]*Table1123457[[#This Row],[L(mm)]]*Table1123457[[#This Row],[fc (Mpa)]])</f>
        <v>1.9887038651369866E-5</v>
      </c>
      <c r="R18" s="111">
        <f>Table1123457[[#This Row],[M (KN.mm)]]/(Table1123457[[#This Row],[b (mm)]]*Table1123457[[#This Row],[h (mm)]]*Table1123457[[#This Row],[L(mm)]]/2)</f>
        <v>1.5313019761554797E-3</v>
      </c>
      <c r="S18" s="111">
        <f>Table1123457[[#This Row],[M (KN.mm)]]/(Table1123457[[#This Row],[a (mm)]]*Table1123457[[#This Row],[b (mm)]]*Table1123457[[#This Row],[h (mm)]]*Table1123457[[#This Row],[L(mm)]]/2)</f>
        <v>1.1824269149109915E-6</v>
      </c>
      <c r="T18" s="111">
        <f>G18/($AL$5*AH18*0.001*Table1123457[[#This Row],[pho (%)]])</f>
        <v>4.5228534366160009E-6</v>
      </c>
      <c r="U18" s="111">
        <f>Table1123457[[#This Row],[M (KN.mm)]]/(Table1123457[[#This Row],[b (mm)]]*Table1123457[[#This Row],[d (mm)]]*Table1123457[[#This Row],[pho (%)]])</f>
        <v>2.3626106194690268</v>
      </c>
      <c r="V18" s="111">
        <f>E18*224.8/(2*SQRT(Table1123457[[#This Row],[fc (Mpa)]]*145.037)*Table1123457[[#This Row],[b (mm)]]*Table1123457[[#This Row],[d (mm)]]*(1/25.4)^2)</f>
        <v>1.6004349307875481</v>
      </c>
      <c r="W18" s="111">
        <f>Table1123457[[#This Row],[M (KN.mm)]]/$G$21</f>
        <v>0.8080357142857143</v>
      </c>
      <c r="X18" s="111">
        <f t="shared" si="4"/>
        <v>1.6004349307875481</v>
      </c>
      <c r="Y18" s="111">
        <f>2.95*Table1123457[[#This Row],[d (mm)]]</f>
        <v>1295.0500000000002</v>
      </c>
      <c r="Z18" s="111">
        <v>439</v>
      </c>
      <c r="AA18" s="111">
        <v>471</v>
      </c>
      <c r="AB18" s="111">
        <v>250</v>
      </c>
      <c r="AC18" s="7">
        <v>38.5</v>
      </c>
      <c r="AD18" s="111">
        <f>Table1123457[[#This Row],[pho (%)]]*Table1123457[[#This Row],[b (mm)]]*Table1123457[[#This Row],[h (mm)]]/100</f>
        <v>1064.46</v>
      </c>
      <c r="AE18" s="160">
        <v>0.90400000000000003</v>
      </c>
      <c r="AF18" s="160">
        <v>525</v>
      </c>
      <c r="AG18" s="111">
        <f>(1/3-0.21*(MIN(Table1123457[[#This Row],[b (mm)]],AA18)/MAX(Table1123457[[#This Row],[b (mm)]],AA18))*(MIN(Table1123457[[#This Row],[b (mm)]],AA18)^4/(12*MAX(Table1123457[[#This Row],[b (mm)]],AA18)^4)))*MAX(Table1123457[[#This Row],[b (mm)]],AA18)*MIN(Table1123457[[#This Row],[b (mm)]],AA18)^3</f>
        <v>2447699066.2153602</v>
      </c>
      <c r="AH18" s="111">
        <f>Table1123457[[#This Row],[b (mm)]]*AA18^3/12</f>
        <v>2176814812.5</v>
      </c>
      <c r="AI18" s="111">
        <v>2600</v>
      </c>
      <c r="AJ18"/>
      <c r="AK18" s="128"/>
      <c r="AL18" s="138"/>
      <c r="AM18" s="1"/>
    </row>
    <row r="19" spans="1:39" s="129" customFormat="1" x14ac:dyDescent="0.25">
      <c r="A19" s="236" t="s">
        <v>143</v>
      </c>
      <c r="B19" s="236">
        <v>4</v>
      </c>
      <c r="C19" s="185">
        <v>18</v>
      </c>
      <c r="D19" s="185">
        <f>Table1123457[[#This Row],[a (mm)]]/Table1123457[[#This Row],[d (mm)]]</f>
        <v>2.9500000000000006</v>
      </c>
      <c r="E19" s="237">
        <v>200</v>
      </c>
      <c r="F19" s="137">
        <f>Table1123457[[#This Row],[d (mm)]]</f>
        <v>439</v>
      </c>
      <c r="G19" s="111">
        <f t="shared" si="3"/>
        <v>259010.00000000003</v>
      </c>
      <c r="H19" s="111">
        <f t="shared" si="0"/>
        <v>4.5178558085092432E-6</v>
      </c>
      <c r="I19" s="111">
        <f>G19/(Table1123457[[#This Row],[b (mm)]]*Z19^2)</f>
        <v>5.3758542141230077E-3</v>
      </c>
      <c r="J19" s="111">
        <f t="shared" si="1"/>
        <v>1.0557555228092403</v>
      </c>
      <c r="K19" s="111">
        <f t="shared" si="2"/>
        <v>2.6022099037855924E-6</v>
      </c>
      <c r="L19" s="111">
        <f>E19/(Table1123457[[#This Row],[b (mm)]]*Z19)</f>
        <v>1.8223234624145787E-3</v>
      </c>
      <c r="M19" s="111">
        <f>Table1123457[[#This Row],[M (KN.mm)]]/(Table1123457[[#This Row],[b (mm)]]*Table1123457[[#This Row],[d (mm)]])</f>
        <v>2.3600000000000003</v>
      </c>
      <c r="N19" s="111">
        <f>Table1123457[[#This Row],[M (KN.mm)]]/(Table1123457[[#This Row],[b (mm)]]*Table1123457[[#This Row],[h (mm)]])</f>
        <v>2.1996602972399155</v>
      </c>
      <c r="O19" s="111">
        <f>Table1123457[[#This Row],[M (KN.mm)]]/(Table1123457[[#This Row],[b (mm)]]*Table1123457[[#This Row],[h (mm)]]*Table1123457[[#This Row],[L(mm)]])</f>
        <v>8.4602319124612126E-4</v>
      </c>
      <c r="P19" s="111">
        <f>Table1123457[[#This Row],[M (KN.mm)]]/(Table1123457[[#This Row],[b (mm)]]*Table1123457[[#This Row],[d (mm)]]*Table1123457[[#This Row],[L(mm)]])</f>
        <v>9.0769230769230781E-4</v>
      </c>
      <c r="Q19" s="111">
        <f>Table1123457[[#This Row],[M (KN.mm)]]/(Table1123457[[#This Row],[b (mm)]]*Table1123457[[#This Row],[h (mm)]]*Table1123457[[#This Row],[L(mm)]]*Table1123457[[#This Row],[fc (Mpa)]])</f>
        <v>2.1974628344055098E-5</v>
      </c>
      <c r="R19" s="111">
        <f>Table1123457[[#This Row],[M (KN.mm)]]/(Table1123457[[#This Row],[b (mm)]]*Table1123457[[#This Row],[h (mm)]]*Table1123457[[#This Row],[L(mm)]]/2)</f>
        <v>1.6920463824922425E-3</v>
      </c>
      <c r="S19" s="111">
        <f>Table1123457[[#This Row],[M (KN.mm)]]/(Table1123457[[#This Row],[a (mm)]]*Table1123457[[#This Row],[b (mm)]]*Table1123457[[#This Row],[h (mm)]]*Table1123457[[#This Row],[L(mm)]]/2)</f>
        <v>1.3065490772497142E-6</v>
      </c>
      <c r="T19" s="111">
        <f>G19/($AL$5*AH19*0.001*Table1123457[[#This Row],[pho (%)]])</f>
        <v>4.9976281067580118E-6</v>
      </c>
      <c r="U19" s="111">
        <f>Table1123457[[#This Row],[M (KN.mm)]]/(Table1123457[[#This Row],[b (mm)]]*Table1123457[[#This Row],[d (mm)]]*Table1123457[[#This Row],[pho (%)]])</f>
        <v>2.610619469026549</v>
      </c>
      <c r="V19" s="111">
        <f>E19*224.8/(2*SQRT(Table1123457[[#This Row],[fc (Mpa)]]*145.037)*Table1123457[[#This Row],[b (mm)]]*Table1123457[[#This Row],[d (mm)]]*(1/25.4)^2)</f>
        <v>1.76843638761055</v>
      </c>
      <c r="W19" s="111">
        <f>Table1123457[[#This Row],[M (KN.mm)]]/$G$21</f>
        <v>0.89285714285714279</v>
      </c>
      <c r="X19" s="111">
        <f t="shared" si="4"/>
        <v>1.76843638761055</v>
      </c>
      <c r="Y19" s="111">
        <f>2.95*Table1123457[[#This Row],[d (mm)]]</f>
        <v>1295.0500000000002</v>
      </c>
      <c r="Z19" s="111">
        <v>439</v>
      </c>
      <c r="AA19" s="111">
        <v>471</v>
      </c>
      <c r="AB19" s="111">
        <v>250</v>
      </c>
      <c r="AC19" s="7">
        <v>38.5</v>
      </c>
      <c r="AD19" s="111">
        <f>Table1123457[[#This Row],[pho (%)]]*Table1123457[[#This Row],[b (mm)]]*Table1123457[[#This Row],[h (mm)]]/100</f>
        <v>1064.46</v>
      </c>
      <c r="AE19" s="160">
        <v>0.90400000000000003</v>
      </c>
      <c r="AF19" s="160">
        <v>525</v>
      </c>
      <c r="AG19" s="111">
        <f>(1/3-0.21*(MIN(Table1123457[[#This Row],[b (mm)]],AA19)/MAX(Table1123457[[#This Row],[b (mm)]],AA19))*(MIN(Table1123457[[#This Row],[b (mm)]],AA19)^4/(12*MAX(Table1123457[[#This Row],[b (mm)]],AA19)^4)))*MAX(Table1123457[[#This Row],[b (mm)]],AA19)*MIN(Table1123457[[#This Row],[b (mm)]],AA19)^3</f>
        <v>2447699066.2153602</v>
      </c>
      <c r="AH19" s="111">
        <f>Table1123457[[#This Row],[b (mm)]]*AA19^3/12</f>
        <v>2176814812.5</v>
      </c>
      <c r="AI19" s="111">
        <v>2600</v>
      </c>
      <c r="AJ19"/>
      <c r="AK19" s="128"/>
      <c r="AL19" s="138"/>
      <c r="AM19" s="1"/>
    </row>
    <row r="20" spans="1:39" s="129" customFormat="1" x14ac:dyDescent="0.25">
      <c r="A20" s="236" t="s">
        <v>143</v>
      </c>
      <c r="B20" s="236">
        <v>5</v>
      </c>
      <c r="C20" s="185">
        <v>19</v>
      </c>
      <c r="D20" s="185">
        <f>Table1123457[[#This Row],[a (mm)]]/Table1123457[[#This Row],[d (mm)]]</f>
        <v>2.9500000000000006</v>
      </c>
      <c r="E20" s="237">
        <v>220</v>
      </c>
      <c r="F20" s="137">
        <f>Table1123457[[#This Row],[d (mm)]]</f>
        <v>439</v>
      </c>
      <c r="G20" s="111">
        <f t="shared" si="3"/>
        <v>284911.00000000006</v>
      </c>
      <c r="H20" s="111">
        <f t="shared" si="0"/>
        <v>4.9696413893601677E-6</v>
      </c>
      <c r="I20" s="111">
        <f>G20/(Table1123457[[#This Row],[b (mm)]]*Z20^2)</f>
        <v>5.9134396355353088E-3</v>
      </c>
      <c r="J20" s="111">
        <f t="shared" si="1"/>
        <v>1.1613310750901644</v>
      </c>
      <c r="K20" s="111">
        <f t="shared" si="2"/>
        <v>2.8624308941641515E-6</v>
      </c>
      <c r="L20" s="111">
        <f>E20/(Table1123457[[#This Row],[b (mm)]]*Z20)</f>
        <v>2.0045558086560365E-3</v>
      </c>
      <c r="M20" s="111">
        <f>Table1123457[[#This Row],[M (KN.mm)]]/(Table1123457[[#This Row],[b (mm)]]*Table1123457[[#This Row],[d (mm)]])</f>
        <v>2.5960000000000005</v>
      </c>
      <c r="N20" s="111">
        <f>Table1123457[[#This Row],[M (KN.mm)]]/(Table1123457[[#This Row],[b (mm)]]*Table1123457[[#This Row],[h (mm)]])</f>
        <v>2.4196263269639071</v>
      </c>
      <c r="O20" s="111">
        <f>Table1123457[[#This Row],[M (KN.mm)]]/(Table1123457[[#This Row],[b (mm)]]*Table1123457[[#This Row],[h (mm)]]*Table1123457[[#This Row],[L(mm)]])</f>
        <v>9.3062551037073344E-4</v>
      </c>
      <c r="P20" s="111">
        <f>Table1123457[[#This Row],[M (KN.mm)]]/(Table1123457[[#This Row],[b (mm)]]*Table1123457[[#This Row],[d (mm)]]*Table1123457[[#This Row],[L(mm)]])</f>
        <v>9.9846153846153856E-4</v>
      </c>
      <c r="Q20" s="111">
        <f>Table1123457[[#This Row],[M (KN.mm)]]/(Table1123457[[#This Row],[b (mm)]]*Table1123457[[#This Row],[h (mm)]]*Table1123457[[#This Row],[L(mm)]]*Table1123457[[#This Row],[fc (Mpa)]])</f>
        <v>2.417209117846061E-5</v>
      </c>
      <c r="R20" s="111">
        <f>Table1123457[[#This Row],[M (KN.mm)]]/(Table1123457[[#This Row],[b (mm)]]*Table1123457[[#This Row],[h (mm)]]*Table1123457[[#This Row],[L(mm)]]/2)</f>
        <v>1.8612510207414669E-3</v>
      </c>
      <c r="S20" s="111">
        <f>Table1123457[[#This Row],[M (KN.mm)]]/(Table1123457[[#This Row],[a (mm)]]*Table1123457[[#This Row],[b (mm)]]*Table1123457[[#This Row],[h (mm)]]*Table1123457[[#This Row],[L(mm)]]/2)</f>
        <v>1.4372039849746857E-6</v>
      </c>
      <c r="T20" s="111">
        <f>G20/($AL$5*AH20*0.001*Table1123457[[#This Row],[pho (%)]])</f>
        <v>5.4973909174338131E-6</v>
      </c>
      <c r="U20" s="111">
        <f>Table1123457[[#This Row],[M (KN.mm)]]/(Table1123457[[#This Row],[b (mm)]]*Table1123457[[#This Row],[d (mm)]]*Table1123457[[#This Row],[pho (%)]])</f>
        <v>2.8716814159292041</v>
      </c>
      <c r="V20" s="111">
        <f>E20*224.8/(2*SQRT(Table1123457[[#This Row],[fc (Mpa)]]*145.037)*Table1123457[[#This Row],[b (mm)]]*Table1123457[[#This Row],[d (mm)]]*(1/25.4)^2)</f>
        <v>1.945280026371605</v>
      </c>
      <c r="W20" s="111">
        <f>Table1123457[[#This Row],[M (KN.mm)]]/$G$21</f>
        <v>0.9821428571428571</v>
      </c>
      <c r="X20" s="111">
        <f t="shared" si="4"/>
        <v>1.945280026371605</v>
      </c>
      <c r="Y20" s="111">
        <f>2.95*Table1123457[[#This Row],[d (mm)]]</f>
        <v>1295.0500000000002</v>
      </c>
      <c r="Z20" s="111">
        <v>439</v>
      </c>
      <c r="AA20" s="111">
        <v>471</v>
      </c>
      <c r="AB20" s="111">
        <v>250</v>
      </c>
      <c r="AC20" s="7">
        <v>38.5</v>
      </c>
      <c r="AD20" s="111">
        <f>Table1123457[[#This Row],[pho (%)]]*Table1123457[[#This Row],[b (mm)]]*Table1123457[[#This Row],[h (mm)]]/100</f>
        <v>1064.46</v>
      </c>
      <c r="AE20" s="160">
        <v>0.90400000000000003</v>
      </c>
      <c r="AF20" s="160">
        <v>525</v>
      </c>
      <c r="AG20" s="111">
        <f>(1/3-0.21*(MIN(Table1123457[[#This Row],[b (mm)]],AA20)/MAX(Table1123457[[#This Row],[b (mm)]],AA20))*(MIN(Table1123457[[#This Row],[b (mm)]],AA20)^4/(12*MAX(Table1123457[[#This Row],[b (mm)]],AA20)^4)))*MAX(Table1123457[[#This Row],[b (mm)]],AA20)*MIN(Table1123457[[#This Row],[b (mm)]],AA20)^3</f>
        <v>2447699066.2153602</v>
      </c>
      <c r="AH20" s="111">
        <f>Table1123457[[#This Row],[b (mm)]]*AA20^3/12</f>
        <v>2176814812.5</v>
      </c>
      <c r="AI20" s="111">
        <v>2600</v>
      </c>
      <c r="AJ20"/>
      <c r="AK20" s="128"/>
      <c r="AL20" s="138"/>
      <c r="AM20" s="1"/>
    </row>
    <row r="21" spans="1:39" s="129" customFormat="1" x14ac:dyDescent="0.25">
      <c r="A21" s="236" t="s">
        <v>143</v>
      </c>
      <c r="B21" s="236" t="s">
        <v>141</v>
      </c>
      <c r="C21" s="185">
        <v>20</v>
      </c>
      <c r="D21" s="185">
        <f>Table1123457[[#This Row],[a (mm)]]/Table1123457[[#This Row],[d (mm)]]</f>
        <v>2.9500000000000006</v>
      </c>
      <c r="E21" s="237">
        <v>224</v>
      </c>
      <c r="F21" s="137">
        <f>Table1123457[[#This Row],[d (mm)]]</f>
        <v>439</v>
      </c>
      <c r="G21" s="111">
        <f t="shared" si="3"/>
        <v>290091.20000000007</v>
      </c>
      <c r="H21" s="111">
        <f t="shared" si="0"/>
        <v>5.0599985055303526E-6</v>
      </c>
      <c r="I21" s="111">
        <f>G21/(Table1123457[[#This Row],[b (mm)]]*Z21^2)</f>
        <v>6.0209567198177688E-3</v>
      </c>
      <c r="J21" s="111">
        <f t="shared" si="1"/>
        <v>1.1824461855463493</v>
      </c>
      <c r="K21" s="111">
        <f t="shared" si="2"/>
        <v>2.9144750922398633E-6</v>
      </c>
      <c r="L21" s="111">
        <f>E21/(Table1123457[[#This Row],[b (mm)]]*Z21)</f>
        <v>2.0410022779043281E-3</v>
      </c>
      <c r="M21" s="111">
        <f>Table1123457[[#This Row],[M (KN.mm)]]/(Table1123457[[#This Row],[b (mm)]]*Table1123457[[#This Row],[d (mm)]])</f>
        <v>2.6432000000000007</v>
      </c>
      <c r="N21" s="111">
        <f>Table1123457[[#This Row],[M (KN.mm)]]/(Table1123457[[#This Row],[b (mm)]]*Table1123457[[#This Row],[h (mm)]])</f>
        <v>2.4636195329087056</v>
      </c>
      <c r="O21" s="111">
        <f>Table1123457[[#This Row],[M (KN.mm)]]/(Table1123457[[#This Row],[b (mm)]]*Table1123457[[#This Row],[h (mm)]]*Table1123457[[#This Row],[L(mm)]])</f>
        <v>9.4754597419565594E-4</v>
      </c>
      <c r="P21" s="111">
        <f>Table1123457[[#This Row],[M (KN.mm)]]/(Table1123457[[#This Row],[b (mm)]]*Table1123457[[#This Row],[d (mm)]]*Table1123457[[#This Row],[L(mm)]])</f>
        <v>1.0166153846153849E-3</v>
      </c>
      <c r="Q21" s="111">
        <f>Table1123457[[#This Row],[M (KN.mm)]]/(Table1123457[[#This Row],[b (mm)]]*Table1123457[[#This Row],[h (mm)]]*Table1123457[[#This Row],[L(mm)]]*Table1123457[[#This Row],[fc (Mpa)]])</f>
        <v>2.4611583745341712E-5</v>
      </c>
      <c r="R21" s="111">
        <f>Table1123457[[#This Row],[M (KN.mm)]]/(Table1123457[[#This Row],[b (mm)]]*Table1123457[[#This Row],[h (mm)]]*Table1123457[[#This Row],[L(mm)]]/2)</f>
        <v>1.8950919483913119E-3</v>
      </c>
      <c r="S21" s="111">
        <f>Table1123457[[#This Row],[M (KN.mm)]]/(Table1123457[[#This Row],[a (mm)]]*Table1123457[[#This Row],[b (mm)]]*Table1123457[[#This Row],[h (mm)]]*Table1123457[[#This Row],[L(mm)]]/2)</f>
        <v>1.4633349665196799E-6</v>
      </c>
      <c r="T21" s="111">
        <f>G21/($AL$5*AH21*0.001*Table1123457[[#This Row],[pho (%)]])</f>
        <v>5.5973434795689737E-6</v>
      </c>
      <c r="U21" s="111">
        <f>Table1123457[[#This Row],[M (KN.mm)]]/(Table1123457[[#This Row],[b (mm)]]*Table1123457[[#This Row],[d (mm)]]*Table1123457[[#This Row],[pho (%)]])</f>
        <v>2.9238938053097354</v>
      </c>
      <c r="V21" s="111">
        <f>E21*224.8/(2*SQRT(Table1123457[[#This Row],[fc (Mpa)]]*145.037)*Table1123457[[#This Row],[b (mm)]]*Table1123457[[#This Row],[d (mm)]]*(1/25.4)^2)</f>
        <v>1.9806487541238162</v>
      </c>
      <c r="W21" s="111">
        <f>Table1123457[[#This Row],[M (KN.mm)]]/$G$21</f>
        <v>1</v>
      </c>
      <c r="X21" s="111">
        <f t="shared" si="4"/>
        <v>1.9806487541238162</v>
      </c>
      <c r="Y21" s="111">
        <f>2.95*Table1123457[[#This Row],[d (mm)]]</f>
        <v>1295.0500000000002</v>
      </c>
      <c r="Z21" s="111">
        <v>439</v>
      </c>
      <c r="AA21" s="111">
        <v>471</v>
      </c>
      <c r="AB21" s="111">
        <v>250</v>
      </c>
      <c r="AC21" s="7">
        <v>38.5</v>
      </c>
      <c r="AD21" s="111">
        <f>Table1123457[[#This Row],[pho (%)]]*Table1123457[[#This Row],[b (mm)]]*Table1123457[[#This Row],[h (mm)]]/100</f>
        <v>1064.46</v>
      </c>
      <c r="AE21" s="160">
        <v>0.90400000000000003</v>
      </c>
      <c r="AF21" s="160">
        <v>525</v>
      </c>
      <c r="AG21" s="111">
        <f>(1/3-0.21*(MIN(Table1123457[[#This Row],[b (mm)]],AA21)/MAX(Table1123457[[#This Row],[b (mm)]],AA21))*(MIN(Table1123457[[#This Row],[b (mm)]],AA21)^4/(12*MAX(Table1123457[[#This Row],[b (mm)]],AA21)^4)))*MAX(Table1123457[[#This Row],[b (mm)]],AA21)*MIN(Table1123457[[#This Row],[b (mm)]],AA21)^3</f>
        <v>2447699066.2153602</v>
      </c>
      <c r="AH21" s="111">
        <f>Table1123457[[#This Row],[b (mm)]]*AA21^3/12</f>
        <v>2176814812.5</v>
      </c>
      <c r="AI21" s="111">
        <v>2600</v>
      </c>
      <c r="AJ21"/>
      <c r="AK21" s="128"/>
      <c r="AL21" s="138"/>
      <c r="AM21" s="1"/>
    </row>
    <row r="22" spans="1:39" s="129" customFormat="1" ht="16.5" customHeight="1" x14ac:dyDescent="0.25">
      <c r="A22" s="238" t="s">
        <v>144</v>
      </c>
      <c r="B22" s="238">
        <v>1</v>
      </c>
      <c r="C22" s="185">
        <v>21</v>
      </c>
      <c r="D22" s="185">
        <f>Table1123457[[#This Row],[a (mm)]]/Table1123457[[#This Row],[d (mm)]]</f>
        <v>2.9500000000000006</v>
      </c>
      <c r="E22" s="184">
        <v>253</v>
      </c>
      <c r="F22" s="137">
        <f>Table1123457[[#This Row],[d (mm)]]</f>
        <v>439</v>
      </c>
      <c r="G22" s="111">
        <f t="shared" si="3"/>
        <v>327647.65000000002</v>
      </c>
      <c r="H22" s="111">
        <f t="shared" si="0"/>
        <v>1.4259200593224032E-6</v>
      </c>
      <c r="I22" s="111">
        <f>G22/(Table1123457[[#This Row],[b (mm)]]*Z22^2)</f>
        <v>1.6967204543077855E-3</v>
      </c>
      <c r="J22" s="111">
        <f t="shared" si="1"/>
        <v>0.33138337891426578</v>
      </c>
      <c r="K22" s="111">
        <f t="shared" si="2"/>
        <v>2.3115604261018978E-7</v>
      </c>
      <c r="L22" s="111">
        <f>E22/(Table1123457[[#This Row],[b (mm)]]*Z22)</f>
        <v>5.7515947603653745E-4</v>
      </c>
      <c r="M22" s="111">
        <f>Table1123457[[#This Row],[M (KN.mm)]]/(Table1123457[[#This Row],[b (mm)]]*Table1123457[[#This Row],[d (mm)]])</f>
        <v>0.74486027944111777</v>
      </c>
      <c r="N22" s="111">
        <f>Table1123457[[#This Row],[M (KN.mm)]]/(Table1123457[[#This Row],[b (mm)]]*Table1123457[[#This Row],[h (mm)]])</f>
        <v>0.69425406088036246</v>
      </c>
      <c r="O22" s="111">
        <f>Table1123457[[#This Row],[M (KN.mm)]]/(Table1123457[[#This Row],[b (mm)]]*Table1123457[[#This Row],[h (mm)]]*Table1123457[[#This Row],[L(mm)]])</f>
        <v>2.6702079264629325E-4</v>
      </c>
      <c r="P22" s="111">
        <f>Table1123457[[#This Row],[M (KN.mm)]]/(Table1123457[[#This Row],[b (mm)]]*Table1123457[[#This Row],[d (mm)]]*Table1123457[[#This Row],[L(mm)]])</f>
        <v>2.8648472286196841E-4</v>
      </c>
      <c r="Q22" s="111">
        <f>Table1123457[[#This Row],[M (KN.mm)]]/(Table1123457[[#This Row],[b (mm)]]*Table1123457[[#This Row],[h (mm)]]*Table1123457[[#This Row],[L(mm)]]*Table1123457[[#This Row],[fc (Mpa)]])</f>
        <v>6.8466869909305966E-6</v>
      </c>
      <c r="R22" s="111">
        <f>Table1123457[[#This Row],[M (KN.mm)]]/(Table1123457[[#This Row],[b (mm)]]*Table1123457[[#This Row],[h (mm)]]*Table1123457[[#This Row],[L(mm)]]/2)</f>
        <v>5.340415852925865E-4</v>
      </c>
      <c r="S22" s="111">
        <f>Table1123457[[#This Row],[M (KN.mm)]]/(Table1123457[[#This Row],[a (mm)]]*Table1123457[[#This Row],[b (mm)]]*Table1123457[[#This Row],[h (mm)]]*Table1123457[[#This Row],[L(mm)]]/2)</f>
        <v>4.123714028744732E-7</v>
      </c>
      <c r="T22" s="111">
        <f>G22/($AL$5*AH22*0.001*Table1123457[[#This Row],[pho (%)]])</f>
        <v>1.5686689321478584E-6</v>
      </c>
      <c r="U22" s="111">
        <f>Table1123457[[#This Row],[M (KN.mm)]]/(Table1123457[[#This Row],[b (mm)]]*Table1123457[[#This Row],[d (mm)]]*Table1123457[[#This Row],[pho (%)]])</f>
        <v>0.81942825021025056</v>
      </c>
      <c r="V22" s="111">
        <f>E22*224.8/(2*SQRT(Table1123457[[#This Row],[fc (Mpa)]]*145.037)*Table1123457[[#This Row],[b (mm)]]*Table1123457[[#This Row],[d (mm)]]*(1/25.4)^2)</f>
        <v>0.55456226691529875</v>
      </c>
      <c r="W22" s="111">
        <f>Table1123457[[#This Row],[M (KN.mm)]]/$G$28</f>
        <v>0.26857749469214437</v>
      </c>
      <c r="X22" s="111">
        <f t="shared" si="4"/>
        <v>0.55456226691529875</v>
      </c>
      <c r="Y22" s="111">
        <f>2.95*Table1123457[[#This Row],[d (mm)]]</f>
        <v>1295.0500000000002</v>
      </c>
      <c r="Z22" s="111">
        <v>439</v>
      </c>
      <c r="AA22" s="111">
        <v>471</v>
      </c>
      <c r="AB22" s="111">
        <v>1002</v>
      </c>
      <c r="AC22" s="7">
        <v>39</v>
      </c>
      <c r="AD22" s="111">
        <f>Table1123457[[#This Row],[pho (%)]]*Table1123457[[#This Row],[b (mm)]]*Table1123457[[#This Row],[h (mm)]]/100</f>
        <v>4289.9527799999996</v>
      </c>
      <c r="AE22" s="160">
        <v>0.90900000000000003</v>
      </c>
      <c r="AF22" s="160">
        <v>525</v>
      </c>
      <c r="AG22" s="111">
        <f>(1/3-0.21*(MIN(Table1123457[[#This Row],[b (mm)]],AA22)/MAX(Table1123457[[#This Row],[b (mm)]],AA22))*(MIN(Table1123457[[#This Row],[b (mm)]],AA22)^4/(12*MAX(Table1123457[[#This Row],[b (mm)]],AA22)^4)))*MAX(Table1123457[[#This Row],[b (mm)]],AA22)*MIN(Table1123457[[#This Row],[b (mm)]],AA22)^3</f>
        <v>34856648131.633789</v>
      </c>
      <c r="AH22" s="111">
        <f>Table1123457[[#This Row],[b (mm)]]*AA22^3/12</f>
        <v>8724673768.5</v>
      </c>
      <c r="AI22" s="111">
        <v>2600</v>
      </c>
      <c r="AJ22"/>
      <c r="AK22" s="138"/>
      <c r="AL22" s="138"/>
      <c r="AM22" s="1"/>
    </row>
    <row r="23" spans="1:39" s="129" customFormat="1" x14ac:dyDescent="0.25">
      <c r="A23" s="238" t="s">
        <v>144</v>
      </c>
      <c r="B23" s="238">
        <v>2</v>
      </c>
      <c r="C23" s="185">
        <v>22</v>
      </c>
      <c r="D23" s="185">
        <f>Table1123457[[#This Row],[a (mm)]]/Table1123457[[#This Row],[d (mm)]]</f>
        <v>2.9500000000000006</v>
      </c>
      <c r="E23" s="184">
        <v>401</v>
      </c>
      <c r="F23" s="137">
        <f>Table1123457[[#This Row],[d (mm)]]</f>
        <v>439</v>
      </c>
      <c r="G23" s="111">
        <f t="shared" si="3"/>
        <v>519315.05000000005</v>
      </c>
      <c r="H23" s="111">
        <f t="shared" si="0"/>
        <v>2.2600551137876825E-6</v>
      </c>
      <c r="I23" s="111">
        <f>G23/(Table1123457[[#This Row],[b (mm)]]*Z23^2)</f>
        <v>2.6892683880530514E-3</v>
      </c>
      <c r="J23" s="111">
        <f t="shared" si="1"/>
        <v>0.52523610650047658</v>
      </c>
      <c r="K23" s="111">
        <f t="shared" si="2"/>
        <v>3.6637775923591345E-7</v>
      </c>
      <c r="L23" s="111">
        <f>E23/(Table1123457[[#This Row],[b (mm)]]*Z23)</f>
        <v>9.1161640272984781E-4</v>
      </c>
      <c r="M23" s="111">
        <f>Table1123457[[#This Row],[M (KN.mm)]]/(Table1123457[[#This Row],[b (mm)]]*Table1123457[[#This Row],[d (mm)]])</f>
        <v>1.1805888223552896</v>
      </c>
      <c r="N23" s="111">
        <f>Table1123457[[#This Row],[M (KN.mm)]]/(Table1123457[[#This Row],[b (mm)]]*Table1123457[[#This Row],[h (mm)]])</f>
        <v>1.1003789660593888</v>
      </c>
      <c r="O23" s="111">
        <f>Table1123457[[#This Row],[M (KN.mm)]]/(Table1123457[[#This Row],[b (mm)]]*Table1123457[[#This Row],[h (mm)]]*Table1123457[[#This Row],[L(mm)]])</f>
        <v>4.2322267925361105E-4</v>
      </c>
      <c r="P23" s="111">
        <f>Table1123457[[#This Row],[M (KN.mm)]]/(Table1123457[[#This Row],[b (mm)]]*Table1123457[[#This Row],[d (mm)]]*Table1123457[[#This Row],[L(mm)]])</f>
        <v>4.5407262398280366E-4</v>
      </c>
      <c r="Q23" s="111">
        <f>Table1123457[[#This Row],[M (KN.mm)]]/(Table1123457[[#This Row],[b (mm)]]*Table1123457[[#This Row],[h (mm)]]*Table1123457[[#This Row],[L(mm)]]*Table1123457[[#This Row],[fc (Mpa)]])</f>
        <v>1.0851863570605413E-5</v>
      </c>
      <c r="R23" s="111">
        <f>Table1123457[[#This Row],[M (KN.mm)]]/(Table1123457[[#This Row],[b (mm)]]*Table1123457[[#This Row],[h (mm)]]*Table1123457[[#This Row],[L(mm)]]/2)</f>
        <v>8.464453585072221E-4</v>
      </c>
      <c r="S23" s="111">
        <f>Table1123457[[#This Row],[M (KN.mm)]]/(Table1123457[[#This Row],[a (mm)]]*Table1123457[[#This Row],[b (mm)]]*Table1123457[[#This Row],[h (mm)]]*Table1123457[[#This Row],[L(mm)]]/2)</f>
        <v>6.5360052392357219E-7</v>
      </c>
      <c r="T23" s="111">
        <f>G23/($AL$5*AH23*0.001*Table1123457[[#This Row],[pho (%)]])</f>
        <v>2.4863092560920601E-6</v>
      </c>
      <c r="U23" s="111">
        <f>Table1123457[[#This Row],[M (KN.mm)]]/(Table1123457[[#This Row],[b (mm)]]*Table1123457[[#This Row],[d (mm)]]*Table1123457[[#This Row],[pho (%)]])</f>
        <v>1.2987775823490533</v>
      </c>
      <c r="V23" s="111">
        <f>E23*224.8/(2*SQRT(Table1123457[[#This Row],[fc (Mpa)]]*145.037)*Table1123457[[#This Row],[b (mm)]]*Table1123457[[#This Row],[d (mm)]]*(1/25.4)^2)</f>
        <v>0.87897023333215341</v>
      </c>
      <c r="W23" s="111">
        <f>Table1123457[[#This Row],[M (KN.mm)]]/$G$28</f>
        <v>0.42569002123142252</v>
      </c>
      <c r="X23" s="111">
        <f t="shared" si="4"/>
        <v>0.87897023333215341</v>
      </c>
      <c r="Y23" s="111">
        <f>2.95*Table1123457[[#This Row],[d (mm)]]</f>
        <v>1295.0500000000002</v>
      </c>
      <c r="Z23" s="111">
        <v>439</v>
      </c>
      <c r="AA23" s="111">
        <v>471</v>
      </c>
      <c r="AB23" s="111">
        <v>1002</v>
      </c>
      <c r="AC23" s="7">
        <v>39</v>
      </c>
      <c r="AD23" s="111">
        <f>Table1123457[[#This Row],[pho (%)]]*Table1123457[[#This Row],[b (mm)]]*Table1123457[[#This Row],[h (mm)]]/100</f>
        <v>4289.9527799999996</v>
      </c>
      <c r="AE23" s="160">
        <v>0.90900000000000003</v>
      </c>
      <c r="AF23" s="160">
        <v>525</v>
      </c>
      <c r="AG23" s="111">
        <f>(1/3-0.21*(MIN(Table1123457[[#This Row],[b (mm)]],AA23)/MAX(Table1123457[[#This Row],[b (mm)]],AA23))*(MIN(Table1123457[[#This Row],[b (mm)]],AA23)^4/(12*MAX(Table1123457[[#This Row],[b (mm)]],AA23)^4)))*MAX(Table1123457[[#This Row],[b (mm)]],AA23)*MIN(Table1123457[[#This Row],[b (mm)]],AA23)^3</f>
        <v>34856648131.633789</v>
      </c>
      <c r="AH23" s="111">
        <f>Table1123457[[#This Row],[b (mm)]]*AA23^3/12</f>
        <v>8724673768.5</v>
      </c>
      <c r="AI23" s="111">
        <v>2600</v>
      </c>
      <c r="AJ23"/>
      <c r="AK23" s="138"/>
      <c r="AL23" s="138"/>
      <c r="AM23" s="1"/>
    </row>
    <row r="24" spans="1:39" s="129" customFormat="1" x14ac:dyDescent="0.25">
      <c r="A24" s="238" t="s">
        <v>144</v>
      </c>
      <c r="B24" s="238">
        <v>3</v>
      </c>
      <c r="C24" s="185">
        <v>23</v>
      </c>
      <c r="D24" s="185">
        <f>Table1123457[[#This Row],[a (mm)]]/Table1123457[[#This Row],[d (mm)]]</f>
        <v>2.9500000000000006</v>
      </c>
      <c r="E24" s="184">
        <v>600</v>
      </c>
      <c r="F24" s="137">
        <f>Table1123457[[#This Row],[d (mm)]]</f>
        <v>439</v>
      </c>
      <c r="G24" s="111">
        <f t="shared" si="3"/>
        <v>777030.00000000012</v>
      </c>
      <c r="H24" s="111">
        <f t="shared" si="0"/>
        <v>3.3816285991835652E-6</v>
      </c>
      <c r="I24" s="111">
        <f>G24/(Table1123457[[#This Row],[b (mm)]]*Z24^2)</f>
        <v>4.0238429746429702E-3</v>
      </c>
      <c r="J24" s="111">
        <f t="shared" si="1"/>
        <v>0.78588943616031415</v>
      </c>
      <c r="K24" s="111">
        <f t="shared" si="2"/>
        <v>5.4819614848266352E-7</v>
      </c>
      <c r="L24" s="111">
        <f>E24/(Table1123457[[#This Row],[b (mm)]]*Z24)</f>
        <v>1.3640145676755827E-3</v>
      </c>
      <c r="M24" s="111">
        <f>Table1123457[[#This Row],[M (KN.mm)]]/(Table1123457[[#This Row],[b (mm)]]*Table1123457[[#This Row],[d (mm)]])</f>
        <v>1.7664670658682637</v>
      </c>
      <c r="N24" s="111">
        <f>Table1123457[[#This Row],[M (KN.mm)]]/(Table1123457[[#This Row],[b (mm)]]*Table1123457[[#This Row],[h (mm)]])</f>
        <v>1.6464523182933499</v>
      </c>
      <c r="O24" s="111">
        <f>Table1123457[[#This Row],[M (KN.mm)]]/(Table1123457[[#This Row],[b (mm)]]*Table1123457[[#This Row],[h (mm)]]*Table1123457[[#This Row],[L(mm)]])</f>
        <v>6.3325089165128842E-4</v>
      </c>
      <c r="P24" s="111">
        <f>Table1123457[[#This Row],[M (KN.mm)]]/(Table1123457[[#This Row],[b (mm)]]*Table1123457[[#This Row],[d (mm)]]*Table1123457[[#This Row],[L(mm)]])</f>
        <v>6.7941040994933216E-4</v>
      </c>
      <c r="Q24" s="111">
        <f>Table1123457[[#This Row],[M (KN.mm)]]/(Table1123457[[#This Row],[b (mm)]]*Table1123457[[#This Row],[h (mm)]]*Table1123457[[#This Row],[L(mm)]]*Table1123457[[#This Row],[fc (Mpa)]])</f>
        <v>1.6237202350033035E-5</v>
      </c>
      <c r="R24" s="111">
        <f>Table1123457[[#This Row],[M (KN.mm)]]/(Table1123457[[#This Row],[b (mm)]]*Table1123457[[#This Row],[h (mm)]]*Table1123457[[#This Row],[L(mm)]]/2)</f>
        <v>1.2665017833025768E-3</v>
      </c>
      <c r="S24" s="111">
        <f>Table1123457[[#This Row],[M (KN.mm)]]/(Table1123457[[#This Row],[a (mm)]]*Table1123457[[#This Row],[b (mm)]]*Table1123457[[#This Row],[h (mm)]]*Table1123457[[#This Row],[L(mm)]]/2)</f>
        <v>9.7795589614499583E-7</v>
      </c>
      <c r="T24" s="111">
        <f>G24/($AL$5*AH24*0.001*Table1123457[[#This Row],[pho (%)]])</f>
        <v>3.7201634754494667E-6</v>
      </c>
      <c r="U24" s="111">
        <f>Table1123457[[#This Row],[M (KN.mm)]]/(Table1123457[[#This Row],[b (mm)]]*Table1123457[[#This Row],[d (mm)]]*Table1123457[[#This Row],[pho (%)]])</f>
        <v>1.9433081032654167</v>
      </c>
      <c r="V24" s="111">
        <f>E24*224.8/(2*SQRT(Table1123457[[#This Row],[fc (Mpa)]]*145.037)*Table1123457[[#This Row],[b (mm)]]*Table1123457[[#This Row],[d (mm)]]*(1/25.4)^2)</f>
        <v>1.3151674314196808</v>
      </c>
      <c r="W24" s="111">
        <f>Table1123457[[#This Row],[M (KN.mm)]]/$G$28</f>
        <v>0.63694267515923575</v>
      </c>
      <c r="X24" s="111">
        <f t="shared" si="4"/>
        <v>1.3151674314196808</v>
      </c>
      <c r="Y24" s="111">
        <f>2.95*Table1123457[[#This Row],[d (mm)]]</f>
        <v>1295.0500000000002</v>
      </c>
      <c r="Z24" s="111">
        <v>439</v>
      </c>
      <c r="AA24" s="111">
        <v>471</v>
      </c>
      <c r="AB24" s="111">
        <v>1002</v>
      </c>
      <c r="AC24" s="7">
        <v>39</v>
      </c>
      <c r="AD24" s="111">
        <f>Table1123457[[#This Row],[pho (%)]]*Table1123457[[#This Row],[b (mm)]]*Table1123457[[#This Row],[h (mm)]]/100</f>
        <v>4289.9527799999996</v>
      </c>
      <c r="AE24" s="160">
        <v>0.90900000000000003</v>
      </c>
      <c r="AF24" s="160">
        <v>525</v>
      </c>
      <c r="AG24" s="111">
        <f>(1/3-0.21*(MIN(Table1123457[[#This Row],[b (mm)]],AA24)/MAX(Table1123457[[#This Row],[b (mm)]],AA24))*(MIN(Table1123457[[#This Row],[b (mm)]],AA24)^4/(12*MAX(Table1123457[[#This Row],[b (mm)]],AA24)^4)))*MAX(Table1123457[[#This Row],[b (mm)]],AA24)*MIN(Table1123457[[#This Row],[b (mm)]],AA24)^3</f>
        <v>34856648131.633789</v>
      </c>
      <c r="AH24" s="111">
        <f>Table1123457[[#This Row],[b (mm)]]*AA24^3/12</f>
        <v>8724673768.5</v>
      </c>
      <c r="AI24" s="111">
        <v>2600</v>
      </c>
      <c r="AJ24"/>
      <c r="AK24" s="138"/>
      <c r="AL24" s="138"/>
      <c r="AM24" s="1"/>
    </row>
    <row r="25" spans="1:39" s="129" customFormat="1" x14ac:dyDescent="0.25">
      <c r="A25" s="238" t="s">
        <v>144</v>
      </c>
      <c r="B25" s="238">
        <v>4</v>
      </c>
      <c r="C25" s="185">
        <v>24</v>
      </c>
      <c r="D25" s="185">
        <f>Table1123457[[#This Row],[a (mm)]]/Table1123457[[#This Row],[d (mm)]]</f>
        <v>2.9500000000000006</v>
      </c>
      <c r="E25" s="184">
        <v>722</v>
      </c>
      <c r="F25" s="137">
        <f>Table1123457[[#This Row],[d (mm)]]</f>
        <v>439</v>
      </c>
      <c r="G25" s="111">
        <f t="shared" si="3"/>
        <v>935026.10000000009</v>
      </c>
      <c r="H25" s="111">
        <f t="shared" si="0"/>
        <v>4.0692264143508904E-6</v>
      </c>
      <c r="I25" s="111">
        <f>G25/(Table1123457[[#This Row],[b (mm)]]*Z25^2)</f>
        <v>4.8420243794870402E-3</v>
      </c>
      <c r="J25" s="111">
        <f t="shared" si="1"/>
        <v>0.94568695484624454</v>
      </c>
      <c r="K25" s="111">
        <f t="shared" si="2"/>
        <v>6.5966269867413839E-7</v>
      </c>
      <c r="L25" s="111">
        <f>E25/(Table1123457[[#This Row],[b (mm)]]*Z25)</f>
        <v>1.6413641964362845E-3</v>
      </c>
      <c r="M25" s="111">
        <f>Table1123457[[#This Row],[M (KN.mm)]]/(Table1123457[[#This Row],[b (mm)]]*Table1123457[[#This Row],[d (mm)]])</f>
        <v>2.1256487025948108</v>
      </c>
      <c r="N25" s="111">
        <f>Table1123457[[#This Row],[M (KN.mm)]]/(Table1123457[[#This Row],[b (mm)]]*Table1123457[[#This Row],[h (mm)]])</f>
        <v>1.9812309563463308</v>
      </c>
      <c r="O25" s="111">
        <f>Table1123457[[#This Row],[M (KN.mm)]]/(Table1123457[[#This Row],[b (mm)]]*Table1123457[[#This Row],[h (mm)]]*Table1123457[[#This Row],[L(mm)]])</f>
        <v>7.6201190628705034E-4</v>
      </c>
      <c r="P25" s="111">
        <f>Table1123457[[#This Row],[M (KN.mm)]]/(Table1123457[[#This Row],[b (mm)]]*Table1123457[[#This Row],[d (mm)]]*Table1123457[[#This Row],[L(mm)]])</f>
        <v>8.1755719330569643E-4</v>
      </c>
      <c r="Q25" s="111">
        <f>Table1123457[[#This Row],[M (KN.mm)]]/(Table1123457[[#This Row],[b (mm)]]*Table1123457[[#This Row],[h (mm)]]*Table1123457[[#This Row],[L(mm)]]*Table1123457[[#This Row],[fc (Mpa)]])</f>
        <v>1.9538766827873086E-5</v>
      </c>
      <c r="R25" s="111">
        <f>Table1123457[[#This Row],[M (KN.mm)]]/(Table1123457[[#This Row],[b (mm)]]*Table1123457[[#This Row],[h (mm)]]*Table1123457[[#This Row],[L(mm)]]/2)</f>
        <v>1.5240238125741007E-3</v>
      </c>
      <c r="S25" s="111">
        <f>Table1123457[[#This Row],[M (KN.mm)]]/(Table1123457[[#This Row],[a (mm)]]*Table1123457[[#This Row],[b (mm)]]*Table1123457[[#This Row],[h (mm)]]*Table1123457[[#This Row],[L(mm)]]/2)</f>
        <v>1.1768069283611448E-6</v>
      </c>
      <c r="T25" s="111">
        <f>G25/($AL$5*AH25*0.001*Table1123457[[#This Row],[pho (%)]])</f>
        <v>4.4765967154575245E-6</v>
      </c>
      <c r="U25" s="111">
        <f>Table1123457[[#This Row],[M (KN.mm)]]/(Table1123457[[#This Row],[b (mm)]]*Table1123457[[#This Row],[d (mm)]]*Table1123457[[#This Row],[pho (%)]])</f>
        <v>2.338447417596051</v>
      </c>
      <c r="V25" s="111">
        <f>E25*224.8/(2*SQRT(Table1123457[[#This Row],[fc (Mpa)]]*145.037)*Table1123457[[#This Row],[b (mm)]]*Table1123457[[#This Row],[d (mm)]]*(1/25.4)^2)</f>
        <v>1.5825848091416825</v>
      </c>
      <c r="W25" s="111">
        <f>Table1123457[[#This Row],[M (KN.mm)]]/$G$28</f>
        <v>0.76645435244161364</v>
      </c>
      <c r="X25" s="111">
        <f t="shared" si="4"/>
        <v>1.5825848091416825</v>
      </c>
      <c r="Y25" s="111">
        <f>2.95*Table1123457[[#This Row],[d (mm)]]</f>
        <v>1295.0500000000002</v>
      </c>
      <c r="Z25" s="111">
        <v>439</v>
      </c>
      <c r="AA25" s="111">
        <v>471</v>
      </c>
      <c r="AB25" s="111">
        <v>1002</v>
      </c>
      <c r="AC25" s="7">
        <v>39</v>
      </c>
      <c r="AD25" s="111">
        <f>Table1123457[[#This Row],[pho (%)]]*Table1123457[[#This Row],[b (mm)]]*Table1123457[[#This Row],[h (mm)]]/100</f>
        <v>4289.9527799999996</v>
      </c>
      <c r="AE25" s="160">
        <v>0.90900000000000003</v>
      </c>
      <c r="AF25" s="160">
        <v>525</v>
      </c>
      <c r="AG25" s="111">
        <f>(1/3-0.21*(MIN(Table1123457[[#This Row],[b (mm)]],AA25)/MAX(Table1123457[[#This Row],[b (mm)]],AA25))*(MIN(Table1123457[[#This Row],[b (mm)]],AA25)^4/(12*MAX(Table1123457[[#This Row],[b (mm)]],AA25)^4)))*MAX(Table1123457[[#This Row],[b (mm)]],AA25)*MIN(Table1123457[[#This Row],[b (mm)]],AA25)^3</f>
        <v>34856648131.633789</v>
      </c>
      <c r="AH25" s="111">
        <f>Table1123457[[#This Row],[b (mm)]]*AA25^3/12</f>
        <v>8724673768.5</v>
      </c>
      <c r="AI25" s="111">
        <v>2600</v>
      </c>
      <c r="AJ25"/>
      <c r="AK25" s="138"/>
      <c r="AL25" s="138"/>
      <c r="AM25" s="1"/>
    </row>
    <row r="26" spans="1:39" s="129" customFormat="1" x14ac:dyDescent="0.25">
      <c r="A26" s="238" t="s">
        <v>144</v>
      </c>
      <c r="B26" s="238">
        <v>5</v>
      </c>
      <c r="C26" s="185">
        <v>25</v>
      </c>
      <c r="D26" s="185">
        <f>Table1123457[[#This Row],[a (mm)]]/Table1123457[[#This Row],[d (mm)]]</f>
        <v>2.9500000000000006</v>
      </c>
      <c r="E26" s="184">
        <v>801</v>
      </c>
      <c r="F26" s="137">
        <f>Table1123457[[#This Row],[d (mm)]]</f>
        <v>439</v>
      </c>
      <c r="G26" s="111">
        <f t="shared" si="3"/>
        <v>1037335.0500000002</v>
      </c>
      <c r="H26" s="111">
        <f t="shared" si="0"/>
        <v>4.51447417991006E-6</v>
      </c>
      <c r="I26" s="111">
        <f>G26/(Table1123457[[#This Row],[b (mm)]]*Z26^2)</f>
        <v>5.3718303711483648E-3</v>
      </c>
      <c r="J26" s="111">
        <f t="shared" si="1"/>
        <v>1.0491623972740194</v>
      </c>
      <c r="K26" s="111">
        <f t="shared" si="2"/>
        <v>7.3184185822435577E-7</v>
      </c>
      <c r="L26" s="111">
        <f>E26/(Table1123457[[#This Row],[b (mm)]]*Z26)</f>
        <v>1.820959447846903E-3</v>
      </c>
      <c r="M26" s="111">
        <f>Table1123457[[#This Row],[M (KN.mm)]]/(Table1123457[[#This Row],[b (mm)]]*Table1123457[[#This Row],[d (mm)]])</f>
        <v>2.3582335329341322</v>
      </c>
      <c r="N26" s="111">
        <f>Table1123457[[#This Row],[M (KN.mm)]]/(Table1123457[[#This Row],[b (mm)]]*Table1123457[[#This Row],[h (mm)]])</f>
        <v>2.198013844921622</v>
      </c>
      <c r="O26" s="111">
        <f>Table1123457[[#This Row],[M (KN.mm)]]/(Table1123457[[#This Row],[b (mm)]]*Table1123457[[#This Row],[h (mm)]]*Table1123457[[#This Row],[L(mm)]])</f>
        <v>8.4538994035447007E-4</v>
      </c>
      <c r="P26" s="111">
        <f>Table1123457[[#This Row],[M (KN.mm)]]/(Table1123457[[#This Row],[b (mm)]]*Table1123457[[#This Row],[d (mm)]]*Table1123457[[#This Row],[L(mm)]])</f>
        <v>9.0701289728235845E-4</v>
      </c>
      <c r="Q26" s="111">
        <f>Table1123457[[#This Row],[M (KN.mm)]]/(Table1123457[[#This Row],[b (mm)]]*Table1123457[[#This Row],[h (mm)]]*Table1123457[[#This Row],[L(mm)]]*Table1123457[[#This Row],[fc (Mpa)]])</f>
        <v>2.1676665137294103E-5</v>
      </c>
      <c r="R26" s="111">
        <f>Table1123457[[#This Row],[M (KN.mm)]]/(Table1123457[[#This Row],[b (mm)]]*Table1123457[[#This Row],[h (mm)]]*Table1123457[[#This Row],[L(mm)]]/2)</f>
        <v>1.6907798807089401E-3</v>
      </c>
      <c r="S26" s="111">
        <f>Table1123457[[#This Row],[M (KN.mm)]]/(Table1123457[[#This Row],[a (mm)]]*Table1123457[[#This Row],[b (mm)]]*Table1123457[[#This Row],[h (mm)]]*Table1123457[[#This Row],[L(mm)]]/2)</f>
        <v>1.3055711213535693E-6</v>
      </c>
      <c r="T26" s="111">
        <f>G26/($AL$5*AH26*0.001*Table1123457[[#This Row],[pho (%)]])</f>
        <v>4.9664182397250375E-6</v>
      </c>
      <c r="U26" s="111">
        <f>Table1123457[[#This Row],[M (KN.mm)]]/(Table1123457[[#This Row],[b (mm)]]*Table1123457[[#This Row],[d (mm)]]*Table1123457[[#This Row],[pho (%)]])</f>
        <v>2.5943163178593314</v>
      </c>
      <c r="V26" s="111">
        <f>E26*224.8/(2*SQRT(Table1123457[[#This Row],[fc (Mpa)]]*145.037)*Table1123457[[#This Row],[b (mm)]]*Table1123457[[#This Row],[d (mm)]]*(1/25.4)^2)</f>
        <v>1.7557485209452741</v>
      </c>
      <c r="W26" s="111">
        <f>Table1123457[[#This Row],[M (KN.mm)]]/$G$28</f>
        <v>0.85031847133757965</v>
      </c>
      <c r="X26" s="111">
        <f t="shared" si="4"/>
        <v>1.7557485209452741</v>
      </c>
      <c r="Y26" s="111">
        <f>2.95*Table1123457[[#This Row],[d (mm)]]</f>
        <v>1295.0500000000002</v>
      </c>
      <c r="Z26" s="111">
        <v>439</v>
      </c>
      <c r="AA26" s="111">
        <v>471</v>
      </c>
      <c r="AB26" s="111">
        <v>1002</v>
      </c>
      <c r="AC26" s="7">
        <v>39</v>
      </c>
      <c r="AD26" s="111">
        <f>Table1123457[[#This Row],[pho (%)]]*Table1123457[[#This Row],[b (mm)]]*Table1123457[[#This Row],[h (mm)]]/100</f>
        <v>4289.9527799999996</v>
      </c>
      <c r="AE26" s="160">
        <v>0.90900000000000003</v>
      </c>
      <c r="AF26" s="160">
        <v>525</v>
      </c>
      <c r="AG26" s="111">
        <f>(1/3-0.21*(MIN(Table1123457[[#This Row],[b (mm)]],AA26)/MAX(Table1123457[[#This Row],[b (mm)]],AA26))*(MIN(Table1123457[[#This Row],[b (mm)]],AA26)^4/(12*MAX(Table1123457[[#This Row],[b (mm)]],AA26)^4)))*MAX(Table1123457[[#This Row],[b (mm)]],AA26)*MIN(Table1123457[[#This Row],[b (mm)]],AA26)^3</f>
        <v>34856648131.633789</v>
      </c>
      <c r="AH26" s="111">
        <f>Table1123457[[#This Row],[b (mm)]]*AA26^3/12</f>
        <v>8724673768.5</v>
      </c>
      <c r="AI26" s="111">
        <v>2600</v>
      </c>
      <c r="AJ26"/>
      <c r="AK26" s="138"/>
      <c r="AL26" s="138"/>
      <c r="AM26" s="1"/>
    </row>
    <row r="27" spans="1:39" s="129" customFormat="1" x14ac:dyDescent="0.25">
      <c r="A27" s="238" t="s">
        <v>144</v>
      </c>
      <c r="B27" s="238">
        <v>6</v>
      </c>
      <c r="C27" s="185">
        <v>26</v>
      </c>
      <c r="D27" s="185">
        <f>Table1123457[[#This Row],[a (mm)]]/Table1123457[[#This Row],[d (mm)]]</f>
        <v>2.9500000000000006</v>
      </c>
      <c r="E27" s="184">
        <v>882</v>
      </c>
      <c r="F27" s="137">
        <f>Table1123457[[#This Row],[d (mm)]]</f>
        <v>439</v>
      </c>
      <c r="G27" s="111">
        <f t="shared" si="3"/>
        <v>1142234.1000000001</v>
      </c>
      <c r="H27" s="111">
        <f t="shared" si="0"/>
        <v>4.9709940407998404E-6</v>
      </c>
      <c r="I27" s="111">
        <f>G27/(Table1123457[[#This Row],[b (mm)]]*Z27^2)</f>
        <v>5.9150491727251652E-3</v>
      </c>
      <c r="J27" s="111">
        <f t="shared" si="1"/>
        <v>1.1552574711556616</v>
      </c>
      <c r="K27" s="111">
        <f t="shared" si="2"/>
        <v>8.0584833826951539E-7</v>
      </c>
      <c r="L27" s="111">
        <f>E27/(Table1123457[[#This Row],[b (mm)]]*Z27)</f>
        <v>2.0051014144831067E-3</v>
      </c>
      <c r="M27" s="111">
        <f>Table1123457[[#This Row],[M (KN.mm)]]/(Table1123457[[#This Row],[b (mm)]]*Table1123457[[#This Row],[d (mm)]])</f>
        <v>2.5967065868263477</v>
      </c>
      <c r="N27" s="111">
        <f>Table1123457[[#This Row],[M (KN.mm)]]/(Table1123457[[#This Row],[b (mm)]]*Table1123457[[#This Row],[h (mm)]])</f>
        <v>2.4202849078912241</v>
      </c>
      <c r="O27" s="111">
        <f>Table1123457[[#This Row],[M (KN.mm)]]/(Table1123457[[#This Row],[b (mm)]]*Table1123457[[#This Row],[h (mm)]]*Table1123457[[#This Row],[L(mm)]])</f>
        <v>9.3087881072739386E-4</v>
      </c>
      <c r="P27" s="111">
        <f>Table1123457[[#This Row],[M (KN.mm)]]/(Table1123457[[#This Row],[b (mm)]]*Table1123457[[#This Row],[d (mm)]]*Table1123457[[#This Row],[L(mm)]])</f>
        <v>9.9873330262551831E-4</v>
      </c>
      <c r="Q27" s="111">
        <f>Table1123457[[#This Row],[M (KN.mm)]]/(Table1123457[[#This Row],[b (mm)]]*Table1123457[[#This Row],[h (mm)]]*Table1123457[[#This Row],[L(mm)]]*Table1123457[[#This Row],[fc (Mpa)]])</f>
        <v>2.3868687454548561E-5</v>
      </c>
      <c r="R27" s="111">
        <f>Table1123457[[#This Row],[M (KN.mm)]]/(Table1123457[[#This Row],[b (mm)]]*Table1123457[[#This Row],[h (mm)]]*Table1123457[[#This Row],[L(mm)]]/2)</f>
        <v>1.8617576214547877E-3</v>
      </c>
      <c r="S27" s="111">
        <f>Table1123457[[#This Row],[M (KN.mm)]]/(Table1123457[[#This Row],[a (mm)]]*Table1123457[[#This Row],[b (mm)]]*Table1123457[[#This Row],[h (mm)]]*Table1123457[[#This Row],[L(mm)]]/2)</f>
        <v>1.4375951673331437E-6</v>
      </c>
      <c r="T27" s="111">
        <f>G27/($AL$5*AH27*0.001*Table1123457[[#This Row],[pho (%)]])</f>
        <v>5.4686403089107151E-6</v>
      </c>
      <c r="U27" s="111">
        <f>Table1123457[[#This Row],[M (KN.mm)]]/(Table1123457[[#This Row],[b (mm)]]*Table1123457[[#This Row],[d (mm)]]*Table1123457[[#This Row],[pho (%)]])</f>
        <v>2.8566629118001621</v>
      </c>
      <c r="V27" s="111">
        <f>E27*224.8/(2*SQRT(Table1123457[[#This Row],[fc (Mpa)]]*145.037)*Table1123457[[#This Row],[b (mm)]]*Table1123457[[#This Row],[d (mm)]]*(1/25.4)^2)</f>
        <v>1.9332961241869309</v>
      </c>
      <c r="W27" s="111">
        <f>Table1123457[[#This Row],[M (KN.mm)]]/$G$28</f>
        <v>0.93630573248407645</v>
      </c>
      <c r="X27" s="111">
        <f t="shared" si="4"/>
        <v>1.9332961241869309</v>
      </c>
      <c r="Y27" s="111">
        <f>2.95*Table1123457[[#This Row],[d (mm)]]</f>
        <v>1295.0500000000002</v>
      </c>
      <c r="Z27" s="111">
        <v>439</v>
      </c>
      <c r="AA27" s="111">
        <v>471</v>
      </c>
      <c r="AB27" s="111">
        <v>1002</v>
      </c>
      <c r="AC27" s="7">
        <v>39</v>
      </c>
      <c r="AD27" s="111">
        <f>Table1123457[[#This Row],[pho (%)]]*Table1123457[[#This Row],[b (mm)]]*Table1123457[[#This Row],[h (mm)]]/100</f>
        <v>4289.9527799999996</v>
      </c>
      <c r="AE27" s="160">
        <v>0.90900000000000003</v>
      </c>
      <c r="AF27" s="160">
        <v>525</v>
      </c>
      <c r="AG27" s="111">
        <f>(1/3-0.21*(MIN(Table1123457[[#This Row],[b (mm)]],AA27)/MAX(Table1123457[[#This Row],[b (mm)]],AA27))*(MIN(Table1123457[[#This Row],[b (mm)]],AA27)^4/(12*MAX(Table1123457[[#This Row],[b (mm)]],AA27)^4)))*MAX(Table1123457[[#This Row],[b (mm)]],AA27)*MIN(Table1123457[[#This Row],[b (mm)]],AA27)^3</f>
        <v>34856648131.633789</v>
      </c>
      <c r="AH27" s="111">
        <f>Table1123457[[#This Row],[b (mm)]]*AA27^3/12</f>
        <v>8724673768.5</v>
      </c>
      <c r="AI27" s="111">
        <v>2600</v>
      </c>
      <c r="AJ27"/>
      <c r="AK27" s="138"/>
      <c r="AL27" s="138"/>
      <c r="AM27" s="1"/>
    </row>
    <row r="28" spans="1:39" s="129" customFormat="1" x14ac:dyDescent="0.25">
      <c r="A28" s="238" t="s">
        <v>144</v>
      </c>
      <c r="B28" s="238" t="s">
        <v>141</v>
      </c>
      <c r="C28" s="185">
        <v>27</v>
      </c>
      <c r="D28" s="185">
        <f>Table1123457[[#This Row],[a (mm)]]/Table1123457[[#This Row],[d (mm)]]</f>
        <v>2.9500000000000006</v>
      </c>
      <c r="E28" s="184">
        <v>942</v>
      </c>
      <c r="F28" s="137">
        <f>Table1123457[[#This Row],[d (mm)]]</f>
        <v>439</v>
      </c>
      <c r="G28" s="111">
        <f t="shared" si="3"/>
        <v>1219937.1000000001</v>
      </c>
      <c r="H28" s="111">
        <f t="shared" si="0"/>
        <v>5.3091569007181974E-6</v>
      </c>
      <c r="I28" s="111">
        <f>G28/(Table1123457[[#This Row],[b (mm)]]*Z28^2)</f>
        <v>6.3174334701894619E-3</v>
      </c>
      <c r="J28" s="111">
        <f t="shared" si="1"/>
        <v>1.233846414771693</v>
      </c>
      <c r="K28" s="111">
        <f t="shared" si="2"/>
        <v>8.6066795311778171E-7</v>
      </c>
      <c r="L28" s="111">
        <f>E28/(Table1123457[[#This Row],[b (mm)]]*Z28)</f>
        <v>2.1415028712506649E-3</v>
      </c>
      <c r="M28" s="111">
        <f>Table1123457[[#This Row],[M (KN.mm)]]/(Table1123457[[#This Row],[b (mm)]]*Table1123457[[#This Row],[d (mm)]])</f>
        <v>2.7733532934131739</v>
      </c>
      <c r="N28" s="111">
        <f>Table1123457[[#This Row],[M (KN.mm)]]/(Table1123457[[#This Row],[b (mm)]]*Table1123457[[#This Row],[h (mm)]])</f>
        <v>2.5849301397205591</v>
      </c>
      <c r="O28" s="111">
        <f>Table1123457[[#This Row],[M (KN.mm)]]/(Table1123457[[#This Row],[b (mm)]]*Table1123457[[#This Row],[h (mm)]]*Table1123457[[#This Row],[L(mm)]])</f>
        <v>9.9420389989252262E-4</v>
      </c>
      <c r="P28" s="111">
        <f>Table1123457[[#This Row],[M (KN.mm)]]/(Table1123457[[#This Row],[b (mm)]]*Table1123457[[#This Row],[d (mm)]]*Table1123457[[#This Row],[L(mm)]])</f>
        <v>1.0666743436204514E-3</v>
      </c>
      <c r="Q28" s="111">
        <f>Table1123457[[#This Row],[M (KN.mm)]]/(Table1123457[[#This Row],[b (mm)]]*Table1123457[[#This Row],[h (mm)]]*Table1123457[[#This Row],[L(mm)]]*Table1123457[[#This Row],[fc (Mpa)]])</f>
        <v>2.5492407689551866E-5</v>
      </c>
      <c r="R28" s="111">
        <f>Table1123457[[#This Row],[M (KN.mm)]]/(Table1123457[[#This Row],[b (mm)]]*Table1123457[[#This Row],[h (mm)]]*Table1123457[[#This Row],[L(mm)]]/2)</f>
        <v>1.9884077997850452E-3</v>
      </c>
      <c r="S28" s="111">
        <f>Table1123457[[#This Row],[M (KN.mm)]]/(Table1123457[[#This Row],[a (mm)]]*Table1123457[[#This Row],[b (mm)]]*Table1123457[[#This Row],[h (mm)]]*Table1123457[[#This Row],[L(mm)]]/2)</f>
        <v>1.5353907569476434E-6</v>
      </c>
      <c r="T28" s="111">
        <f>G28/($AL$5*AH28*0.001*Table1123457[[#This Row],[pho (%)]])</f>
        <v>5.8406566564556624E-6</v>
      </c>
      <c r="U28" s="111">
        <f>Table1123457[[#This Row],[M (KN.mm)]]/(Table1123457[[#This Row],[b (mm)]]*Table1123457[[#This Row],[d (mm)]]*Table1123457[[#This Row],[pho (%)]])</f>
        <v>3.0509937221267038</v>
      </c>
      <c r="V28" s="111">
        <f>E28*224.8/(2*SQRT(Table1123457[[#This Row],[fc (Mpa)]]*145.037)*Table1123457[[#This Row],[b (mm)]]*Table1123457[[#This Row],[d (mm)]]*(1/25.4)^2)</f>
        <v>2.0648128673288988</v>
      </c>
      <c r="W28" s="111">
        <f>Table1123457[[#This Row],[M (KN.mm)]]/$G$28</f>
        <v>1</v>
      </c>
      <c r="X28" s="111">
        <f t="shared" si="4"/>
        <v>2.0648128673288988</v>
      </c>
      <c r="Y28" s="111">
        <f>2.95*Table1123457[[#This Row],[d (mm)]]</f>
        <v>1295.0500000000002</v>
      </c>
      <c r="Z28" s="111">
        <v>439</v>
      </c>
      <c r="AA28" s="111">
        <v>471</v>
      </c>
      <c r="AB28" s="111">
        <v>1002</v>
      </c>
      <c r="AC28" s="7">
        <v>39</v>
      </c>
      <c r="AD28" s="111">
        <f>Table1123457[[#This Row],[pho (%)]]*Table1123457[[#This Row],[b (mm)]]*Table1123457[[#This Row],[h (mm)]]/100</f>
        <v>4289.9527799999996</v>
      </c>
      <c r="AE28" s="160">
        <v>0.90900000000000003</v>
      </c>
      <c r="AF28" s="160">
        <v>525</v>
      </c>
      <c r="AG28" s="111">
        <f>(1/3-0.21*(MIN(Table1123457[[#This Row],[b (mm)]],AA28)/MAX(Table1123457[[#This Row],[b (mm)]],AA28))*(MIN(Table1123457[[#This Row],[b (mm)]],AA28)^4/(12*MAX(Table1123457[[#This Row],[b (mm)]],AA28)^4)))*MAX(Table1123457[[#This Row],[b (mm)]],AA28)*MIN(Table1123457[[#This Row],[b (mm)]],AA28)^3</f>
        <v>34856648131.633789</v>
      </c>
      <c r="AH28" s="111">
        <f>Table1123457[[#This Row],[b (mm)]]*AA28^3/12</f>
        <v>8724673768.5</v>
      </c>
      <c r="AI28" s="111">
        <v>2600</v>
      </c>
      <c r="AJ28"/>
      <c r="AK28" s="138"/>
      <c r="AL28" s="138"/>
      <c r="AM28" s="1"/>
    </row>
    <row r="29" spans="1:39" s="129" customFormat="1" x14ac:dyDescent="0.25">
      <c r="A29" s="164" t="s">
        <v>145</v>
      </c>
      <c r="B29" s="164">
        <v>1</v>
      </c>
      <c r="C29" s="185">
        <v>28</v>
      </c>
      <c r="D29" s="185">
        <f>Table1123457[[#This Row],[a (mm)]]/Table1123457[[#This Row],[d (mm)]]</f>
        <v>2.95</v>
      </c>
      <c r="E29" s="239">
        <v>253</v>
      </c>
      <c r="F29" s="137">
        <f>Table1123457[[#This Row],[d (mm)]]</f>
        <v>438</v>
      </c>
      <c r="G29" s="111">
        <f t="shared" si="3"/>
        <v>326901.30000000005</v>
      </c>
      <c r="H29" s="111">
        <f t="shared" si="0"/>
        <v>1.4317721693684472E-6</v>
      </c>
      <c r="I29" s="111">
        <f>G29/(Table1123457[[#This Row],[b (mm)]]*Z29^2)</f>
        <v>1.7005942452993558E-3</v>
      </c>
      <c r="J29" s="111">
        <f t="shared" si="1"/>
        <v>0.33135938637684764</v>
      </c>
      <c r="K29" s="111">
        <f t="shared" si="2"/>
        <v>2.3263168187217786E-7</v>
      </c>
      <c r="L29" s="111">
        <f>E29/(Table1123457[[#This Row],[b (mm)]]*Z29)</f>
        <v>5.7647262552520527E-4</v>
      </c>
      <c r="M29" s="111">
        <f>Table1123457[[#This Row],[M (KN.mm)]]/(Table1123457[[#This Row],[b (mm)]]*Table1123457[[#This Row],[d (mm)]])</f>
        <v>0.74486027944111788</v>
      </c>
      <c r="N29" s="111">
        <f>Table1123457[[#This Row],[M (KN.mm)]]/(Table1123457[[#This Row],[b (mm)]]*Table1123457[[#This Row],[h (mm)]])</f>
        <v>0.69414638807491413</v>
      </c>
      <c r="O29" s="111">
        <f>Table1123457[[#This Row],[M (KN.mm)]]/(Table1123457[[#This Row],[b (mm)]]*Table1123457[[#This Row],[h (mm)]]*Table1123457[[#This Row],[L(mm)]])</f>
        <v>2.6697938002881314E-4</v>
      </c>
      <c r="P29" s="111">
        <f>Table1123457[[#This Row],[M (KN.mm)]]/(Table1123457[[#This Row],[b (mm)]]*Table1123457[[#This Row],[d (mm)]]*Table1123457[[#This Row],[L(mm)]])</f>
        <v>2.8648472286196841E-4</v>
      </c>
      <c r="Q29" s="111">
        <f>Table1123457[[#This Row],[M (KN.mm)]]/(Table1123457[[#This Row],[b (mm)]]*Table1123457[[#This Row],[h (mm)]]*Table1123457[[#This Row],[L(mm)]]*Table1123457[[#This Row],[fc (Mpa)]])</f>
        <v>7.0443108187021934E-6</v>
      </c>
      <c r="R29" s="111">
        <f>Table1123457[[#This Row],[M (KN.mm)]]/(Table1123457[[#This Row],[b (mm)]]*Table1123457[[#This Row],[h (mm)]]*Table1123457[[#This Row],[L(mm)]]/2)</f>
        <v>5.3395876005762628E-4</v>
      </c>
      <c r="S29" s="111">
        <f>Table1123457[[#This Row],[M (KN.mm)]]/(Table1123457[[#This Row],[a (mm)]]*Table1123457[[#This Row],[b (mm)]]*Table1123457[[#This Row],[h (mm)]]*Table1123457[[#This Row],[L(mm)]]/2)</f>
        <v>4.1324878883803589E-7</v>
      </c>
      <c r="T29" s="111">
        <f>G29/($AL$5*AH29*0.001*Table1123457[[#This Row],[pho (%)]])</f>
        <v>1.5716489235658036E-6</v>
      </c>
      <c r="U29" s="111">
        <f>Table1123457[[#This Row],[M (KN.mm)]]/(Table1123457[[#This Row],[b (mm)]]*Table1123457[[#This Row],[d (mm)]]*Table1123457[[#This Row],[pho (%)]])</f>
        <v>0.81762928588487138</v>
      </c>
      <c r="V29" s="111">
        <f>E29*224.8/(2*SQRT(Table1123457[[#This Row],[fc (Mpa)]]*145.037)*Table1123457[[#This Row],[b (mm)]]*Table1123457[[#This Row],[d (mm)]]*(1/25.4)^2)</f>
        <v>0.56383680907118416</v>
      </c>
      <c r="W29" s="111">
        <f>Table1123457[[#This Row],[M (KN.mm)]]/$G$34</f>
        <v>0.28749999999999998</v>
      </c>
      <c r="X29" s="111">
        <f t="shared" si="4"/>
        <v>0.56383680907118416</v>
      </c>
      <c r="Y29" s="111">
        <f>2.95*Table1123457[[#This Row],[d (mm)]]</f>
        <v>1292.1000000000001</v>
      </c>
      <c r="Z29" s="111">
        <v>438</v>
      </c>
      <c r="AA29" s="111">
        <v>470</v>
      </c>
      <c r="AB29" s="111">
        <v>1002</v>
      </c>
      <c r="AC29" s="7">
        <v>37.9</v>
      </c>
      <c r="AD29" s="111">
        <f>Table1123457[[#This Row],[pho (%)]]*Table1123457[[#This Row],[b (mm)]]*Table1123457[[#This Row],[h (mm)]]/100</f>
        <v>4290.2633999999998</v>
      </c>
      <c r="AE29" s="160">
        <v>0.91100000000000003</v>
      </c>
      <c r="AF29" s="160">
        <v>525</v>
      </c>
      <c r="AG29" s="111">
        <f>(1/3-0.21*(MIN(Table1123457[[#This Row],[b (mm)]],AA29)/MAX(Table1123457[[#This Row],[b (mm)]],AA29))*(MIN(Table1123457[[#This Row],[b (mm)]],AA29)^4/(12*MAX(Table1123457[[#This Row],[b (mm)]],AA29)^4)))*MAX(Table1123457[[#This Row],[b (mm)]],AA29)*MIN(Table1123457[[#This Row],[b (mm)]],AA29)^3</f>
        <v>34635543946.209015</v>
      </c>
      <c r="AH29" s="111">
        <f>Table1123457[[#This Row],[b (mm)]]*AA29^3/12</f>
        <v>8669220500</v>
      </c>
      <c r="AI29" s="111">
        <v>2600</v>
      </c>
      <c r="AJ29"/>
      <c r="AK29" s="138"/>
      <c r="AL29" s="138"/>
      <c r="AM29" s="1"/>
    </row>
    <row r="30" spans="1:39" s="129" customFormat="1" x14ac:dyDescent="0.25">
      <c r="A30" s="164" t="s">
        <v>145</v>
      </c>
      <c r="B30" s="164">
        <v>2</v>
      </c>
      <c r="C30" s="185">
        <v>29</v>
      </c>
      <c r="D30" s="185">
        <f>Table1123457[[#This Row],[a (mm)]]/Table1123457[[#This Row],[d (mm)]]</f>
        <v>2.95</v>
      </c>
      <c r="E30" s="239">
        <v>404</v>
      </c>
      <c r="F30" s="137">
        <f>Table1123457[[#This Row],[d (mm)]]</f>
        <v>438</v>
      </c>
      <c r="G30" s="111">
        <f t="shared" si="3"/>
        <v>522008.40000000008</v>
      </c>
      <c r="H30" s="111">
        <f t="shared" si="0"/>
        <v>2.2863081281614731E-6</v>
      </c>
      <c r="I30" s="111">
        <f>G30/(Table1123457[[#This Row],[b (mm)]]*Z30^2)</f>
        <v>2.7155734193713035E-3</v>
      </c>
      <c r="J30" s="111">
        <f t="shared" si="1"/>
        <v>0.52912724148714019</v>
      </c>
      <c r="K30" s="111">
        <f t="shared" si="2"/>
        <v>3.7147509674450537E-7</v>
      </c>
      <c r="L30" s="111">
        <f>E30/(Table1123457[[#This Row],[b (mm)]]*Z30)</f>
        <v>9.205333624987468E-4</v>
      </c>
      <c r="M30" s="111">
        <f>Table1123457[[#This Row],[M (KN.mm)]]/(Table1123457[[#This Row],[b (mm)]]*Table1123457[[#This Row],[d (mm)]])</f>
        <v>1.189421157684631</v>
      </c>
      <c r="N30" s="111">
        <f>Table1123457[[#This Row],[M (KN.mm)]]/(Table1123457[[#This Row],[b (mm)]]*Table1123457[[#This Row],[h (mm)]])</f>
        <v>1.1084392916295072</v>
      </c>
      <c r="O30" s="111">
        <f>Table1123457[[#This Row],[M (KN.mm)]]/(Table1123457[[#This Row],[b (mm)]]*Table1123457[[#This Row],[h (mm)]]*Table1123457[[#This Row],[L(mm)]])</f>
        <v>4.2632280447288737E-4</v>
      </c>
      <c r="P30" s="111">
        <f>Table1123457[[#This Row],[M (KN.mm)]]/(Table1123457[[#This Row],[b (mm)]]*Table1123457[[#This Row],[d (mm)]]*Table1123457[[#This Row],[L(mm)]])</f>
        <v>4.5746967603255037E-4</v>
      </c>
      <c r="Q30" s="111">
        <f>Table1123457[[#This Row],[M (KN.mm)]]/(Table1123457[[#This Row],[b (mm)]]*Table1123457[[#This Row],[h (mm)]]*Table1123457[[#This Row],[L(mm)]]*Table1123457[[#This Row],[fc (Mpa)]])</f>
        <v>1.1248622809311012E-5</v>
      </c>
      <c r="R30" s="111">
        <f>Table1123457[[#This Row],[M (KN.mm)]]/(Table1123457[[#This Row],[b (mm)]]*Table1123457[[#This Row],[h (mm)]]*Table1123457[[#This Row],[L(mm)]]/2)</f>
        <v>8.5264560894577474E-4</v>
      </c>
      <c r="S30" s="111">
        <f>Table1123457[[#This Row],[M (KN.mm)]]/(Table1123457[[#This Row],[a (mm)]]*Table1123457[[#This Row],[b (mm)]]*Table1123457[[#This Row],[h (mm)]]*Table1123457[[#This Row],[L(mm)]]/2)</f>
        <v>6.5989134660302962E-7</v>
      </c>
      <c r="T30" s="111">
        <f>G30/($AL$5*AH30*0.001*Table1123457[[#This Row],[pho (%)]])</f>
        <v>2.5096686368402559E-6</v>
      </c>
      <c r="U30" s="111">
        <f>Table1123457[[#This Row],[M (KN.mm)]]/(Table1123457[[#This Row],[b (mm)]]*Table1123457[[#This Row],[d (mm)]]*Table1123457[[#This Row],[pho (%)]])</f>
        <v>1.305621468369518</v>
      </c>
      <c r="V30" s="111">
        <f>E30*224.8/(2*SQRT(Table1123457[[#This Row],[fc (Mpa)]]*145.037)*Table1123457[[#This Row],[b (mm)]]*Table1123457[[#This Row],[d (mm)]]*(1/25.4)^2)</f>
        <v>0.90035601132315579</v>
      </c>
      <c r="W30" s="111">
        <f>Table1123457[[#This Row],[M (KN.mm)]]/$G$34</f>
        <v>0.45909090909090905</v>
      </c>
      <c r="X30" s="111">
        <f t="shared" si="4"/>
        <v>0.90035601132315579</v>
      </c>
      <c r="Y30" s="111">
        <f>2.95*Table1123457[[#This Row],[d (mm)]]</f>
        <v>1292.1000000000001</v>
      </c>
      <c r="Z30" s="111">
        <v>438</v>
      </c>
      <c r="AA30" s="111">
        <v>470</v>
      </c>
      <c r="AB30" s="111">
        <v>1002</v>
      </c>
      <c r="AC30" s="7">
        <v>37.9</v>
      </c>
      <c r="AD30" s="111">
        <f>Table1123457[[#This Row],[pho (%)]]*Table1123457[[#This Row],[b (mm)]]*Table1123457[[#This Row],[h (mm)]]/100</f>
        <v>4290.2633999999998</v>
      </c>
      <c r="AE30" s="160">
        <v>0.91100000000000003</v>
      </c>
      <c r="AF30" s="160">
        <v>525</v>
      </c>
      <c r="AG30" s="111">
        <f>(1/3-0.21*(MIN(Table1123457[[#This Row],[b (mm)]],AA30)/MAX(Table1123457[[#This Row],[b (mm)]],AA30))*(MIN(Table1123457[[#This Row],[b (mm)]],AA30)^4/(12*MAX(Table1123457[[#This Row],[b (mm)]],AA30)^4)))*MAX(Table1123457[[#This Row],[b (mm)]],AA30)*MIN(Table1123457[[#This Row],[b (mm)]],AA30)^3</f>
        <v>34635543946.209015</v>
      </c>
      <c r="AH30" s="111">
        <f>Table1123457[[#This Row],[b (mm)]]*AA30^3/12</f>
        <v>8669220500</v>
      </c>
      <c r="AI30" s="111">
        <v>2600</v>
      </c>
      <c r="AJ30"/>
      <c r="AK30" s="138"/>
      <c r="AL30" s="138"/>
      <c r="AM30" s="1"/>
    </row>
    <row r="31" spans="1:39" x14ac:dyDescent="0.25">
      <c r="A31" s="164" t="s">
        <v>145</v>
      </c>
      <c r="B31" s="164">
        <v>3</v>
      </c>
      <c r="C31" s="185">
        <v>30</v>
      </c>
      <c r="D31" s="185">
        <f>Table1123457[[#This Row],[a (mm)]]/Table1123457[[#This Row],[d (mm)]]</f>
        <v>2.95</v>
      </c>
      <c r="E31" s="239">
        <v>600</v>
      </c>
      <c r="F31" s="137">
        <f>Table1123457[[#This Row],[d (mm)]]</f>
        <v>438</v>
      </c>
      <c r="G31" s="111">
        <f>E31*Y31</f>
        <v>775260.00000000012</v>
      </c>
      <c r="H31" s="111">
        <f t="shared" si="0"/>
        <v>3.3955071210318906E-6</v>
      </c>
      <c r="I31" s="111">
        <f>G31/(Table1123457[[#This Row],[b (mm)]]*Z31^2)</f>
        <v>4.033029830749461E-3</v>
      </c>
      <c r="J31" s="111">
        <f t="shared" si="1"/>
        <v>0.78583253686208931</v>
      </c>
      <c r="K31" s="111">
        <f t="shared" si="2"/>
        <v>5.5169568823441391E-7</v>
      </c>
      <c r="L31" s="111">
        <f>E31/(Table1123457[[#This Row],[b (mm)]]*Z31)</f>
        <v>1.3671287561862577E-3</v>
      </c>
      <c r="M31" s="111">
        <f>Table1123457[[#This Row],[M (KN.mm)]]/(Table1123457[[#This Row],[b (mm)]]*Table1123457[[#This Row],[d (mm)]])</f>
        <v>1.7664670658682637</v>
      </c>
      <c r="N31" s="111">
        <f>Table1123457[[#This Row],[M (KN.mm)]]/(Table1123457[[#This Row],[b (mm)]]*Table1123457[[#This Row],[h (mm)]])</f>
        <v>1.6461969677665946</v>
      </c>
      <c r="O31" s="111">
        <f>Table1123457[[#This Row],[M (KN.mm)]]/(Table1123457[[#This Row],[b (mm)]]*Table1123457[[#This Row],[h (mm)]]*Table1123457[[#This Row],[L(mm)]])</f>
        <v>6.331526799102287E-4</v>
      </c>
      <c r="P31" s="111">
        <f>Table1123457[[#This Row],[M (KN.mm)]]/(Table1123457[[#This Row],[b (mm)]]*Table1123457[[#This Row],[d (mm)]]*Table1123457[[#This Row],[L(mm)]])</f>
        <v>6.7941040994933216E-4</v>
      </c>
      <c r="Q31" s="111">
        <f>Table1123457[[#This Row],[M (KN.mm)]]/(Table1123457[[#This Row],[b (mm)]]*Table1123457[[#This Row],[h (mm)]]*Table1123457[[#This Row],[L(mm)]]*Table1123457[[#This Row],[fc (Mpa)]])</f>
        <v>1.6705875459372792E-5</v>
      </c>
      <c r="R31" s="111">
        <f>Table1123457[[#This Row],[M (KN.mm)]]/(Table1123457[[#This Row],[b (mm)]]*Table1123457[[#This Row],[h (mm)]]*Table1123457[[#This Row],[L(mm)]]/2)</f>
        <v>1.2663053598204574E-3</v>
      </c>
      <c r="S31" s="111">
        <f>Table1123457[[#This Row],[M (KN.mm)]]/(Table1123457[[#This Row],[a (mm)]]*Table1123457[[#This Row],[b (mm)]]*Table1123457[[#This Row],[h (mm)]]*Table1123457[[#This Row],[L(mm)]]/2)</f>
        <v>9.8003665337083612E-7</v>
      </c>
      <c r="T31" s="111">
        <f>G31/($AL$5*AH31*0.001*Table1123457[[#This Row],[pho (%)]])</f>
        <v>3.727230648772657E-6</v>
      </c>
      <c r="U31" s="111">
        <f>Table1123457[[#This Row],[M (KN.mm)]]/(Table1123457[[#This Row],[b (mm)]]*Table1123457[[#This Row],[d (mm)]]*Table1123457[[#This Row],[pho (%)]])</f>
        <v>1.9390417847072048</v>
      </c>
      <c r="V31" s="111">
        <f>E31*224.8/(2*SQRT(Table1123457[[#This Row],[fc (Mpa)]]*145.037)*Table1123457[[#This Row],[b (mm)]]*Table1123457[[#This Row],[d (mm)]]*(1/25.4)^2)</f>
        <v>1.3371623930541916</v>
      </c>
      <c r="W31" s="111">
        <f>Table1123457[[#This Row],[M (KN.mm)]]/$G$34</f>
        <v>0.68181818181818177</v>
      </c>
      <c r="X31" s="111">
        <f t="shared" si="4"/>
        <v>1.3371623930541916</v>
      </c>
      <c r="Y31" s="111">
        <f>2.95*Table1123457[[#This Row],[d (mm)]]</f>
        <v>1292.1000000000001</v>
      </c>
      <c r="Z31" s="111">
        <v>438</v>
      </c>
      <c r="AA31" s="111">
        <v>470</v>
      </c>
      <c r="AB31" s="111">
        <v>1002</v>
      </c>
      <c r="AC31" s="7">
        <v>37.9</v>
      </c>
      <c r="AD31" s="111">
        <f>Table1123457[[#This Row],[pho (%)]]*Table1123457[[#This Row],[b (mm)]]*Table1123457[[#This Row],[h (mm)]]/100</f>
        <v>4290.2633999999998</v>
      </c>
      <c r="AE31" s="160">
        <v>0.91100000000000003</v>
      </c>
      <c r="AF31" s="160">
        <v>525</v>
      </c>
      <c r="AG31" s="111">
        <f>(1/3-0.21*(MIN(Table1123457[[#This Row],[b (mm)]],AA31)/MAX(Table1123457[[#This Row],[b (mm)]],AA31))*(MIN(Table1123457[[#This Row],[b (mm)]],AA31)^4/(12*MAX(Table1123457[[#This Row],[b (mm)]],AA31)^4)))*MAX(Table1123457[[#This Row],[b (mm)]],AA31)*MIN(Table1123457[[#This Row],[b (mm)]],AA31)^3</f>
        <v>34635543946.209015</v>
      </c>
      <c r="AH31" s="111">
        <f>Table1123457[[#This Row],[b (mm)]]*AA31^3/12</f>
        <v>8669220500</v>
      </c>
      <c r="AI31" s="111">
        <v>2600</v>
      </c>
      <c r="AK31" s="1"/>
    </row>
    <row r="32" spans="1:39" x14ac:dyDescent="0.25">
      <c r="A32" s="164" t="s">
        <v>145</v>
      </c>
      <c r="B32" s="164">
        <v>4</v>
      </c>
      <c r="C32" s="185">
        <v>31</v>
      </c>
      <c r="D32" s="185">
        <f>Table1123457[[#This Row],[a (mm)]]/Table1123457[[#This Row],[d (mm)]]</f>
        <v>2.95</v>
      </c>
      <c r="E32" s="239">
        <v>722</v>
      </c>
      <c r="F32" s="137">
        <f>Table1123457[[#This Row],[d (mm)]]</f>
        <v>438</v>
      </c>
      <c r="G32" s="111">
        <f t="shared" si="3"/>
        <v>932896.20000000007</v>
      </c>
      <c r="H32" s="111">
        <f t="shared" si="0"/>
        <v>4.0859269023083747E-6</v>
      </c>
      <c r="I32" s="111">
        <f>G32/(Table1123457[[#This Row],[b (mm)]]*Z32^2)</f>
        <v>4.8530792296685174E-3</v>
      </c>
      <c r="J32" s="111">
        <f t="shared" si="1"/>
        <v>0.94561848602404741</v>
      </c>
      <c r="K32" s="111">
        <f t="shared" si="2"/>
        <v>6.638738115087447E-7</v>
      </c>
      <c r="L32" s="111">
        <f>E32/(Table1123457[[#This Row],[b (mm)]]*Z32)</f>
        <v>1.6451116032774632E-3</v>
      </c>
      <c r="M32" s="111">
        <f>Table1123457[[#This Row],[M (KN.mm)]]/(Table1123457[[#This Row],[b (mm)]]*Table1123457[[#This Row],[d (mm)]])</f>
        <v>2.1256487025948108</v>
      </c>
      <c r="N32" s="111">
        <f>Table1123457[[#This Row],[M (KN.mm)]]/(Table1123457[[#This Row],[b (mm)]]*Table1123457[[#This Row],[h (mm)]])</f>
        <v>1.9809236845458023</v>
      </c>
      <c r="O32" s="111">
        <f>Table1123457[[#This Row],[M (KN.mm)]]/(Table1123457[[#This Row],[b (mm)]]*Table1123457[[#This Row],[h (mm)]]*Table1123457[[#This Row],[L(mm)]])</f>
        <v>7.6189372482530853E-4</v>
      </c>
      <c r="P32" s="111">
        <f>Table1123457[[#This Row],[M (KN.mm)]]/(Table1123457[[#This Row],[b (mm)]]*Table1123457[[#This Row],[d (mm)]]*Table1123457[[#This Row],[L(mm)]])</f>
        <v>8.1755719330569633E-4</v>
      </c>
      <c r="Q32" s="111">
        <f>Table1123457[[#This Row],[M (KN.mm)]]/(Table1123457[[#This Row],[b (mm)]]*Table1123457[[#This Row],[h (mm)]]*Table1123457[[#This Row],[L(mm)]]*Table1123457[[#This Row],[fc (Mpa)]])</f>
        <v>2.0102736802778588E-5</v>
      </c>
      <c r="R32" s="111">
        <f>Table1123457[[#This Row],[M (KN.mm)]]/(Table1123457[[#This Row],[b (mm)]]*Table1123457[[#This Row],[h (mm)]]*Table1123457[[#This Row],[L(mm)]]/2)</f>
        <v>1.5237874496506171E-3</v>
      </c>
      <c r="S32" s="111">
        <f>Table1123457[[#This Row],[M (KN.mm)]]/(Table1123457[[#This Row],[a (mm)]]*Table1123457[[#This Row],[b (mm)]]*Table1123457[[#This Row],[h (mm)]]*Table1123457[[#This Row],[L(mm)]]/2)</f>
        <v>1.1793107728895726E-6</v>
      </c>
      <c r="T32" s="111">
        <f>G32/($AL$5*AH32*0.001*Table1123457[[#This Row],[pho (%)]])</f>
        <v>4.4851008806897638E-6</v>
      </c>
      <c r="U32" s="111">
        <f>Table1123457[[#This Row],[M (KN.mm)]]/(Table1123457[[#This Row],[b (mm)]]*Table1123457[[#This Row],[d (mm)]]*Table1123457[[#This Row],[pho (%)]])</f>
        <v>2.3333136142643363</v>
      </c>
      <c r="V32" s="111">
        <f>E32*224.8/(2*SQRT(Table1123457[[#This Row],[fc (Mpa)]]*145.037)*Table1123457[[#This Row],[b (mm)]]*Table1123457[[#This Row],[d (mm)]]*(1/25.4)^2)</f>
        <v>1.6090520796418772</v>
      </c>
      <c r="W32" s="111">
        <f>Table1123457[[#This Row],[M (KN.mm)]]/$G$34</f>
        <v>0.82045454545454533</v>
      </c>
      <c r="X32" s="111">
        <f t="shared" si="4"/>
        <v>1.6090520796418772</v>
      </c>
      <c r="Y32" s="111">
        <f>2.95*Table1123457[[#This Row],[d (mm)]]</f>
        <v>1292.1000000000001</v>
      </c>
      <c r="Z32" s="111">
        <v>438</v>
      </c>
      <c r="AA32" s="111">
        <v>470</v>
      </c>
      <c r="AB32" s="111">
        <v>1002</v>
      </c>
      <c r="AC32" s="7">
        <v>37.9</v>
      </c>
      <c r="AD32" s="111">
        <f>Table1123457[[#This Row],[pho (%)]]*Table1123457[[#This Row],[b (mm)]]*Table1123457[[#This Row],[h (mm)]]/100</f>
        <v>4290.2633999999998</v>
      </c>
      <c r="AE32" s="160">
        <v>0.91100000000000003</v>
      </c>
      <c r="AF32" s="160">
        <v>525</v>
      </c>
      <c r="AG32" s="111">
        <f>(1/3-0.21*(MIN(Table1123457[[#This Row],[b (mm)]],AA32)/MAX(Table1123457[[#This Row],[b (mm)]],AA32))*(MIN(Table1123457[[#This Row],[b (mm)]],AA32)^4/(12*MAX(Table1123457[[#This Row],[b (mm)]],AA32)^4)))*MAX(Table1123457[[#This Row],[b (mm)]],AA32)*MIN(Table1123457[[#This Row],[b (mm)]],AA32)^3</f>
        <v>34635543946.209015</v>
      </c>
      <c r="AH32" s="111">
        <f>Table1123457[[#This Row],[b (mm)]]*AA32^3/12</f>
        <v>8669220500</v>
      </c>
      <c r="AI32" s="111">
        <v>2600</v>
      </c>
      <c r="AK32" s="1"/>
    </row>
    <row r="33" spans="1:44" x14ac:dyDescent="0.25">
      <c r="A33" s="164" t="s">
        <v>145</v>
      </c>
      <c r="B33" s="164">
        <v>5</v>
      </c>
      <c r="C33" s="185">
        <v>32</v>
      </c>
      <c r="D33" s="185">
        <f>Table1123457[[#This Row],[a (mm)]]/Table1123457[[#This Row],[d (mm)]]</f>
        <v>2.95</v>
      </c>
      <c r="E33" s="239">
        <v>802</v>
      </c>
      <c r="F33" s="137">
        <f>Table1123457[[#This Row],[d (mm)]]</f>
        <v>438</v>
      </c>
      <c r="G33" s="111">
        <f t="shared" si="3"/>
        <v>1036264.2000000001</v>
      </c>
      <c r="H33" s="111">
        <f t="shared" si="0"/>
        <v>4.538661185112627E-6</v>
      </c>
      <c r="I33" s="111">
        <f>G33/(Table1123457[[#This Row],[b (mm)]]*Z33^2)</f>
        <v>5.3908165404351121E-3</v>
      </c>
      <c r="J33" s="111">
        <f t="shared" si="1"/>
        <v>1.0503961576056593</v>
      </c>
      <c r="K33" s="111">
        <f t="shared" si="2"/>
        <v>7.3743323660666659E-7</v>
      </c>
      <c r="L33" s="111">
        <f>E33/(Table1123457[[#This Row],[b (mm)]]*Z33)</f>
        <v>1.827395437435631E-3</v>
      </c>
      <c r="M33" s="111">
        <f>Table1123457[[#This Row],[M (KN.mm)]]/(Table1123457[[#This Row],[b (mm)]]*Table1123457[[#This Row],[d (mm)]])</f>
        <v>2.3611776447105788</v>
      </c>
      <c r="N33" s="111">
        <f>Table1123457[[#This Row],[M (KN.mm)]]/(Table1123457[[#This Row],[b (mm)]]*Table1123457[[#This Row],[h (mm)]])</f>
        <v>2.2004166135813481</v>
      </c>
      <c r="O33" s="111">
        <f>Table1123457[[#This Row],[M (KN.mm)]]/(Table1123457[[#This Row],[b (mm)]]*Table1123457[[#This Row],[h (mm)]]*Table1123457[[#This Row],[L(mm)]])</f>
        <v>8.4631408214667231E-4</v>
      </c>
      <c r="P33" s="111">
        <f>Table1123457[[#This Row],[M (KN.mm)]]/(Table1123457[[#This Row],[b (mm)]]*Table1123457[[#This Row],[d (mm)]]*Table1123457[[#This Row],[L(mm)]])</f>
        <v>9.0814524796560732E-4</v>
      </c>
      <c r="Q33" s="111">
        <f>Table1123457[[#This Row],[M (KN.mm)]]/(Table1123457[[#This Row],[b (mm)]]*Table1123457[[#This Row],[h (mm)]]*Table1123457[[#This Row],[L(mm)]]*Table1123457[[#This Row],[fc (Mpa)]])</f>
        <v>2.2330186864028294E-5</v>
      </c>
      <c r="R33" s="111">
        <f>Table1123457[[#This Row],[M (KN.mm)]]/(Table1123457[[#This Row],[b (mm)]]*Table1123457[[#This Row],[h (mm)]]*Table1123457[[#This Row],[L(mm)]]/2)</f>
        <v>1.6926281642933446E-3</v>
      </c>
      <c r="S33" s="111">
        <f>Table1123457[[#This Row],[M (KN.mm)]]/(Table1123457[[#This Row],[a (mm)]]*Table1123457[[#This Row],[b (mm)]]*Table1123457[[#This Row],[h (mm)]]*Table1123457[[#This Row],[L(mm)]]/2)</f>
        <v>1.3099823266723508E-6</v>
      </c>
      <c r="T33" s="111">
        <f>G33/($AL$5*AH33*0.001*Table1123457[[#This Row],[pho (%)]])</f>
        <v>4.9820649671927845E-6</v>
      </c>
      <c r="U33" s="111">
        <f>Table1123457[[#This Row],[M (KN.mm)]]/(Table1123457[[#This Row],[b (mm)]]*Table1123457[[#This Row],[d (mm)]]*Table1123457[[#This Row],[pho (%)]])</f>
        <v>2.5918525188919634</v>
      </c>
      <c r="V33" s="111">
        <f>E33*224.8/(2*SQRT(Table1123457[[#This Row],[fc (Mpa)]]*145.037)*Table1123457[[#This Row],[b (mm)]]*Table1123457[[#This Row],[d (mm)]]*(1/25.4)^2)</f>
        <v>1.7873403987157694</v>
      </c>
      <c r="W33" s="111">
        <f>Table1123457[[#This Row],[M (KN.mm)]]/$G$34</f>
        <v>0.91136363636363626</v>
      </c>
      <c r="X33" s="111">
        <f t="shared" si="4"/>
        <v>1.7873403987157694</v>
      </c>
      <c r="Y33" s="111">
        <f>2.95*Table1123457[[#This Row],[d (mm)]]</f>
        <v>1292.1000000000001</v>
      </c>
      <c r="Z33" s="111">
        <v>438</v>
      </c>
      <c r="AA33" s="111">
        <v>470</v>
      </c>
      <c r="AB33" s="111">
        <v>1002</v>
      </c>
      <c r="AC33" s="7">
        <v>37.9</v>
      </c>
      <c r="AD33" s="111">
        <f>Table1123457[[#This Row],[pho (%)]]*Table1123457[[#This Row],[b (mm)]]*Table1123457[[#This Row],[h (mm)]]/100</f>
        <v>4290.2633999999998</v>
      </c>
      <c r="AE33" s="160">
        <v>0.91100000000000003</v>
      </c>
      <c r="AF33" s="160">
        <v>525</v>
      </c>
      <c r="AG33" s="111">
        <f>(1/3-0.21*(MIN(Table1123457[[#This Row],[b (mm)]],AA33)/MAX(Table1123457[[#This Row],[b (mm)]],AA33))*(MIN(Table1123457[[#This Row],[b (mm)]],AA33)^4/(12*MAX(Table1123457[[#This Row],[b (mm)]],AA33)^4)))*MAX(Table1123457[[#This Row],[b (mm)]],AA33)*MIN(Table1123457[[#This Row],[b (mm)]],AA33)^3</f>
        <v>34635543946.209015</v>
      </c>
      <c r="AH33" s="111">
        <f>Table1123457[[#This Row],[b (mm)]]*AA33^3/12</f>
        <v>8669220500</v>
      </c>
      <c r="AI33" s="111">
        <v>2600</v>
      </c>
      <c r="AK33" s="1"/>
    </row>
    <row r="34" spans="1:44" x14ac:dyDescent="0.25">
      <c r="A34" s="164" t="s">
        <v>145</v>
      </c>
      <c r="B34" s="164" t="s">
        <v>141</v>
      </c>
      <c r="C34" s="185">
        <v>33</v>
      </c>
      <c r="D34" s="185">
        <f>Table1123457[[#This Row],[a (mm)]]/Table1123457[[#This Row],[d (mm)]]</f>
        <v>2.95</v>
      </c>
      <c r="E34" s="239">
        <v>880</v>
      </c>
      <c r="F34" s="137">
        <f>Table1123457[[#This Row],[d (mm)]]</f>
        <v>438</v>
      </c>
      <c r="G34" s="111">
        <f t="shared" si="3"/>
        <v>1137048.0000000002</v>
      </c>
      <c r="H34" s="111">
        <f t="shared" si="0"/>
        <v>4.9800771108467731E-6</v>
      </c>
      <c r="I34" s="111">
        <f>G34/(Table1123457[[#This Row],[b (mm)]]*Z34^2)</f>
        <v>5.9151104184325424E-3</v>
      </c>
      <c r="J34" s="111">
        <f t="shared" si="1"/>
        <v>1.1525543873977311</v>
      </c>
      <c r="K34" s="111">
        <f t="shared" si="2"/>
        <v>8.0915367607714036E-7</v>
      </c>
      <c r="L34" s="111">
        <f>E34/(Table1123457[[#This Row],[b (mm)]]*Z34)</f>
        <v>2.0051221757398444E-3</v>
      </c>
      <c r="M34" s="111">
        <f>Table1123457[[#This Row],[M (KN.mm)]]/(Table1123457[[#This Row],[b (mm)]]*Table1123457[[#This Row],[d (mm)]])</f>
        <v>2.5908183632734536</v>
      </c>
      <c r="N34" s="111">
        <f>Table1123457[[#This Row],[M (KN.mm)]]/(Table1123457[[#This Row],[b (mm)]]*Table1123457[[#This Row],[h (mm)]])</f>
        <v>2.4144222193910059</v>
      </c>
      <c r="O34" s="111">
        <f>Table1123457[[#This Row],[M (KN.mm)]]/(Table1123457[[#This Row],[b (mm)]]*Table1123457[[#This Row],[h (mm)]]*Table1123457[[#This Row],[L(mm)]])</f>
        <v>9.2862393053500219E-4</v>
      </c>
      <c r="P34" s="111">
        <f>Table1123457[[#This Row],[M (KN.mm)]]/(Table1123457[[#This Row],[b (mm)]]*Table1123457[[#This Row],[d (mm)]]*Table1123457[[#This Row],[L(mm)]])</f>
        <v>9.9646860125902057E-4</v>
      </c>
      <c r="Q34" s="111">
        <f>Table1123457[[#This Row],[M (KN.mm)]]/(Table1123457[[#This Row],[b (mm)]]*Table1123457[[#This Row],[h (mm)]]*Table1123457[[#This Row],[L(mm)]]*Table1123457[[#This Row],[fc (Mpa)]])</f>
        <v>2.4501950673746761E-5</v>
      </c>
      <c r="R34" s="111">
        <f>Table1123457[[#This Row],[M (KN.mm)]]/(Table1123457[[#This Row],[b (mm)]]*Table1123457[[#This Row],[h (mm)]]*Table1123457[[#This Row],[L(mm)]]/2)</f>
        <v>1.8572478610700044E-3</v>
      </c>
      <c r="S34" s="111">
        <f>Table1123457[[#This Row],[M (KN.mm)]]/(Table1123457[[#This Row],[a (mm)]]*Table1123457[[#This Row],[b (mm)]]*Table1123457[[#This Row],[h (mm)]]*Table1123457[[#This Row],[L(mm)]]/2)</f>
        <v>1.4373870916105596E-6</v>
      </c>
      <c r="T34" s="111">
        <f>G34/($AL$5*AH34*0.001*Table1123457[[#This Row],[pho (%)]])</f>
        <v>5.4666049515332303E-6</v>
      </c>
      <c r="U34" s="111">
        <f>Table1123457[[#This Row],[M (KN.mm)]]/(Table1123457[[#This Row],[b (mm)]]*Table1123457[[#This Row],[d (mm)]]*Table1123457[[#This Row],[pho (%)]])</f>
        <v>2.8439279509039008</v>
      </c>
      <c r="V34" s="111">
        <f>E34*224.8/(2*SQRT(Table1123457[[#This Row],[fc (Mpa)]]*145.037)*Table1123457[[#This Row],[b (mm)]]*Table1123457[[#This Row],[d (mm)]]*(1/25.4)^2)</f>
        <v>1.9611715098128144</v>
      </c>
      <c r="W34" s="111">
        <f>Table1123457[[#This Row],[M (KN.mm)]]/$G$34</f>
        <v>1</v>
      </c>
      <c r="X34" s="111">
        <f t="shared" si="4"/>
        <v>1.9611715098128144</v>
      </c>
      <c r="Y34" s="111">
        <f>2.95*Table1123457[[#This Row],[d (mm)]]</f>
        <v>1292.1000000000001</v>
      </c>
      <c r="Z34" s="111">
        <v>438</v>
      </c>
      <c r="AA34" s="111">
        <v>470</v>
      </c>
      <c r="AB34" s="111">
        <v>1002</v>
      </c>
      <c r="AC34" s="7">
        <v>37.9</v>
      </c>
      <c r="AD34" s="111">
        <f>Table1123457[[#This Row],[pho (%)]]*Table1123457[[#This Row],[b (mm)]]*Table1123457[[#This Row],[h (mm)]]/100</f>
        <v>4290.2633999999998</v>
      </c>
      <c r="AE34" s="160">
        <v>0.91100000000000003</v>
      </c>
      <c r="AF34" s="160">
        <v>525</v>
      </c>
      <c r="AG34" s="111">
        <f>(1/3-0.21*(MIN(Table1123457[[#This Row],[b (mm)]],AA34)/MAX(Table1123457[[#This Row],[b (mm)]],AA34))*(MIN(Table1123457[[#This Row],[b (mm)]],AA34)^4/(12*MAX(Table1123457[[#This Row],[b (mm)]],AA34)^4)))*MAX(Table1123457[[#This Row],[b (mm)]],AA34)*MIN(Table1123457[[#This Row],[b (mm)]],AA34)^3</f>
        <v>34635543946.209015</v>
      </c>
      <c r="AH34" s="111">
        <f>Table1123457[[#This Row],[b (mm)]]*AA34^3/12</f>
        <v>8669220500</v>
      </c>
      <c r="AI34" s="111">
        <v>2600</v>
      </c>
      <c r="AK34" s="1"/>
    </row>
    <row r="35" spans="1:44" x14ac:dyDescent="0.25">
      <c r="A35" s="163" t="s">
        <v>146</v>
      </c>
      <c r="B35" s="163">
        <v>1</v>
      </c>
      <c r="C35" s="185">
        <v>34</v>
      </c>
      <c r="D35" s="185">
        <f>Table1123457[[#This Row],[a (mm)]]/Table1123457[[#This Row],[d (mm)]]</f>
        <v>2.95</v>
      </c>
      <c r="E35" s="240">
        <v>754</v>
      </c>
      <c r="F35" s="137">
        <f>Table1123457[[#This Row],[d (mm)]]</f>
        <v>440</v>
      </c>
      <c r="G35" s="111">
        <f t="shared" si="3"/>
        <v>978692</v>
      </c>
      <c r="H35" s="111">
        <f t="shared" si="0"/>
        <v>1.4112180745604208E-6</v>
      </c>
      <c r="I35" s="111">
        <f>G35/(Table1123457[[#This Row],[b (mm)]]*Z35^2)</f>
        <v>1.6822719709574951E-3</v>
      </c>
      <c r="J35" s="111">
        <f t="shared" si="1"/>
        <v>0.32897412081884364</v>
      </c>
      <c r="K35" s="111">
        <f t="shared" si="2"/>
        <v>2.2797890330755247E-7</v>
      </c>
      <c r="L35" s="111">
        <f>E35/(Table1123457[[#This Row],[b (mm)]]*Z35)</f>
        <v>5.7026168507033734E-4</v>
      </c>
      <c r="M35" s="111">
        <f>Table1123457[[#This Row],[M (KN.mm)]]/(Table1123457[[#This Row],[b (mm)]]*Table1123457[[#This Row],[d (mm)]])</f>
        <v>0.74019966722129782</v>
      </c>
      <c r="N35" s="111">
        <f>Table1123457[[#This Row],[M (KN.mm)]]/(Table1123457[[#This Row],[b (mm)]]*Table1123457[[#This Row],[h (mm)]])</f>
        <v>0.69001663893510812</v>
      </c>
      <c r="O35" s="111">
        <f>Table1123457[[#This Row],[M (KN.mm)]]/(Table1123457[[#This Row],[b (mm)]]*Table1123457[[#This Row],[h (mm)]]*Table1123457[[#This Row],[L(mm)]])</f>
        <v>2.6539101497504157E-4</v>
      </c>
      <c r="P35" s="111">
        <f>Table1123457[[#This Row],[M (KN.mm)]]/(Table1123457[[#This Row],[b (mm)]]*Table1123457[[#This Row],[d (mm)]]*Table1123457[[#This Row],[L(mm)]])</f>
        <v>2.8469217970049918E-4</v>
      </c>
      <c r="Q35" s="111">
        <f>Table1123457[[#This Row],[M (KN.mm)]]/(Table1123457[[#This Row],[b (mm)]]*Table1123457[[#This Row],[h (mm)]]*Table1123457[[#This Row],[L(mm)]]*Table1123457[[#This Row],[fc (Mpa)]])</f>
        <v>6.5367245067744238E-6</v>
      </c>
      <c r="R35" s="111">
        <f>Table1123457[[#This Row],[M (KN.mm)]]/(Table1123457[[#This Row],[b (mm)]]*Table1123457[[#This Row],[h (mm)]]*Table1123457[[#This Row],[L(mm)]]/2)</f>
        <v>5.3078202995008315E-4</v>
      </c>
      <c r="S35" s="111">
        <f>Table1123457[[#This Row],[M (KN.mm)]]/(Table1123457[[#This Row],[a (mm)]]*Table1123457[[#This Row],[b (mm)]]*Table1123457[[#This Row],[h (mm)]]*Table1123457[[#This Row],[L(mm)]]/2)</f>
        <v>4.089229814715587E-7</v>
      </c>
      <c r="T35" s="111">
        <f>G35/($AL$5*AH35*0.001*Table1123457[[#This Row],[pho (%)]])</f>
        <v>1.5542049279299789E-6</v>
      </c>
      <c r="U35" s="111">
        <f>Table1123457[[#This Row],[M (KN.mm)]]/(Table1123457[[#This Row],[b (mm)]]*Table1123457[[#This Row],[d (mm)]]*Table1123457[[#This Row],[pho (%)]])</f>
        <v>0.8151978713890945</v>
      </c>
      <c r="V35" s="111">
        <f>E35*224.8/(2*SQRT(Table1123457[[#This Row],[fc (Mpa)]]*145.037)*Table1123457[[#This Row],[b (mm)]]*Table1123457[[#This Row],[d (mm)]]*(1/25.4)^2)</f>
        <v>0.53889669075030933</v>
      </c>
      <c r="W35" s="111">
        <f>Table1123457[[#This Row],[M (KN.mm)]]/$G$41</f>
        <v>0.29407176287051484</v>
      </c>
      <c r="X35" s="111">
        <f t="shared" si="4"/>
        <v>0.53889669075030933</v>
      </c>
      <c r="Y35" s="111">
        <f>2.95*Table1123457[[#This Row],[d (mm)]]</f>
        <v>1298</v>
      </c>
      <c r="Z35" s="111">
        <v>440</v>
      </c>
      <c r="AA35" s="111">
        <v>472</v>
      </c>
      <c r="AB35" s="111">
        <v>3005</v>
      </c>
      <c r="AC35" s="7">
        <v>40.6</v>
      </c>
      <c r="AD35" s="111">
        <f>Table1123457[[#This Row],[pho (%)]]*Table1123457[[#This Row],[b (mm)]]*Table1123457[[#This Row],[h (mm)]]/100</f>
        <v>12878.708799999999</v>
      </c>
      <c r="AE35" s="160">
        <v>0.90800000000000003</v>
      </c>
      <c r="AF35" s="160">
        <v>525</v>
      </c>
      <c r="AG35" s="111">
        <f>(1/3-0.21*(MIN(Table1123457[[#This Row],[b (mm)]],AA35)/MAX(Table1123457[[#This Row],[b (mm)]],AA35))*(MIN(Table1123457[[#This Row],[b (mm)]],AA35)^4/(12*MAX(Table1123457[[#This Row],[b (mm)]],AA35)^4)))*MAX(Table1123457[[#This Row],[b (mm)]],AA35)*MIN(Table1123457[[#This Row],[b (mm)]],AA35)^3</f>
        <v>105328776062.70901</v>
      </c>
      <c r="AH35" s="111">
        <f>Table1123457[[#This Row],[b (mm)]]*AA35^3/12</f>
        <v>26332326186.666668</v>
      </c>
      <c r="AI35" s="111">
        <v>2600</v>
      </c>
      <c r="AK35" s="1"/>
    </row>
    <row r="36" spans="1:44" x14ac:dyDescent="0.25">
      <c r="A36" s="163" t="s">
        <v>146</v>
      </c>
      <c r="B36" s="163">
        <v>2</v>
      </c>
      <c r="C36" s="185">
        <v>35</v>
      </c>
      <c r="D36" s="185">
        <f>Table1123457[[#This Row],[a (mm)]]/Table1123457[[#This Row],[d (mm)]]</f>
        <v>2.95</v>
      </c>
      <c r="E36" s="240">
        <v>1193</v>
      </c>
      <c r="F36" s="137">
        <f>Table1123457[[#This Row],[d (mm)]]</f>
        <v>440</v>
      </c>
      <c r="G36" s="111">
        <f t="shared" si="3"/>
        <v>1548514</v>
      </c>
      <c r="H36" s="111">
        <f t="shared" si="0"/>
        <v>2.232868916380082E-6</v>
      </c>
      <c r="I36" s="111">
        <f>G36/(Table1123457[[#This Row],[b (mm)]]*Z36^2)</f>
        <v>2.6617380124035698E-3</v>
      </c>
      <c r="J36" s="111">
        <f t="shared" si="1"/>
        <v>0.52051210362981493</v>
      </c>
      <c r="K36" s="111">
        <f t="shared" si="2"/>
        <v>3.6071463083011952E-7</v>
      </c>
      <c r="L36" s="111">
        <f>E36/(Table1123457[[#This Row],[b (mm)]]*Z36)</f>
        <v>9.0228407200121006E-4</v>
      </c>
      <c r="M36" s="111">
        <f>Table1123457[[#This Row],[M (KN.mm)]]/(Table1123457[[#This Row],[b (mm)]]*Table1123457[[#This Row],[d (mm)]])</f>
        <v>1.1711647254575708</v>
      </c>
      <c r="N36" s="111">
        <f>Table1123457[[#This Row],[M (KN.mm)]]/(Table1123457[[#This Row],[b (mm)]]*Table1123457[[#This Row],[h (mm)]])</f>
        <v>1.0917637271214642</v>
      </c>
      <c r="O36" s="111">
        <f>Table1123457[[#This Row],[M (KN.mm)]]/(Table1123457[[#This Row],[b (mm)]]*Table1123457[[#This Row],[h (mm)]]*Table1123457[[#This Row],[L(mm)]])</f>
        <v>4.1990912581594777E-4</v>
      </c>
      <c r="P36" s="111">
        <f>Table1123457[[#This Row],[M (KN.mm)]]/(Table1123457[[#This Row],[b (mm)]]*Table1123457[[#This Row],[d (mm)]]*Table1123457[[#This Row],[L(mm)]])</f>
        <v>4.504479713298349E-4</v>
      </c>
      <c r="Q36" s="111">
        <f>Table1123457[[#This Row],[M (KN.mm)]]/(Table1123457[[#This Row],[b (mm)]]*Table1123457[[#This Row],[h (mm)]]*Table1123457[[#This Row],[L(mm)]]*Table1123457[[#This Row],[fc (Mpa)]])</f>
        <v>1.0342589305811521E-5</v>
      </c>
      <c r="R36" s="111">
        <f>Table1123457[[#This Row],[M (KN.mm)]]/(Table1123457[[#This Row],[b (mm)]]*Table1123457[[#This Row],[h (mm)]]*Table1123457[[#This Row],[L(mm)]]/2)</f>
        <v>8.3981825163189554E-4</v>
      </c>
      <c r="S36" s="111">
        <f>Table1123457[[#This Row],[M (KN.mm)]]/(Table1123457[[#This Row],[a (mm)]]*Table1123457[[#This Row],[b (mm)]]*Table1123457[[#This Row],[h (mm)]]*Table1123457[[#This Row],[L(mm)]]/2)</f>
        <v>6.4700943885354054E-7</v>
      </c>
      <c r="T36" s="111">
        <f>G36/($AL$5*AH36*0.001*Table1123457[[#This Row],[pho (%)]])</f>
        <v>2.459106736101412E-6</v>
      </c>
      <c r="U36" s="111">
        <f>Table1123457[[#This Row],[M (KN.mm)]]/(Table1123457[[#This Row],[b (mm)]]*Table1123457[[#This Row],[d (mm)]]*Table1123457[[#This Row],[pho (%)]])</f>
        <v>1.2898289927946813</v>
      </c>
      <c r="V36" s="111">
        <f>E36*224.8/(2*SQRT(Table1123457[[#This Row],[fc (Mpa)]]*145.037)*Table1123457[[#This Row],[b (mm)]]*Table1123457[[#This Row],[d (mm)]]*(1/25.4)^2)</f>
        <v>0.8526574961075849</v>
      </c>
      <c r="W36" s="111">
        <f>Table1123457[[#This Row],[M (KN.mm)]]/$G$41</f>
        <v>0.46528861154446177</v>
      </c>
      <c r="X36" s="111">
        <f t="shared" si="4"/>
        <v>0.8526574961075849</v>
      </c>
      <c r="Y36" s="111">
        <f>2.95*Table1123457[[#This Row],[d (mm)]]</f>
        <v>1298</v>
      </c>
      <c r="Z36" s="111">
        <v>440</v>
      </c>
      <c r="AA36" s="111">
        <v>472</v>
      </c>
      <c r="AB36" s="111">
        <v>3005</v>
      </c>
      <c r="AC36" s="7">
        <v>40.6</v>
      </c>
      <c r="AD36" s="111">
        <f>Table1123457[[#This Row],[pho (%)]]*Table1123457[[#This Row],[b (mm)]]*Table1123457[[#This Row],[h (mm)]]/100</f>
        <v>12878.708799999999</v>
      </c>
      <c r="AE36" s="160">
        <v>0.90800000000000003</v>
      </c>
      <c r="AF36" s="160">
        <v>525</v>
      </c>
      <c r="AG36" s="111">
        <f>(1/3-0.21*(MIN(Table1123457[[#This Row],[b (mm)]],AA36)/MAX(Table1123457[[#This Row],[b (mm)]],AA36))*(MIN(Table1123457[[#This Row],[b (mm)]],AA36)^4/(12*MAX(Table1123457[[#This Row],[b (mm)]],AA36)^4)))*MAX(Table1123457[[#This Row],[b (mm)]],AA36)*MIN(Table1123457[[#This Row],[b (mm)]],AA36)^3</f>
        <v>105328776062.70901</v>
      </c>
      <c r="AH36" s="111">
        <f>Table1123457[[#This Row],[b (mm)]]*AA36^3/12</f>
        <v>26332326186.666668</v>
      </c>
      <c r="AI36" s="111">
        <v>2600</v>
      </c>
      <c r="AK36" s="1"/>
    </row>
    <row r="37" spans="1:44" x14ac:dyDescent="0.25">
      <c r="A37" s="163" t="s">
        <v>146</v>
      </c>
      <c r="B37" s="163">
        <v>3</v>
      </c>
      <c r="C37" s="185">
        <v>36</v>
      </c>
      <c r="D37" s="185">
        <f>Table1123457[[#This Row],[a (mm)]]/Table1123457[[#This Row],[d (mm)]]</f>
        <v>2.95</v>
      </c>
      <c r="E37" s="240">
        <v>1793</v>
      </c>
      <c r="F37" s="137">
        <f>Table1123457[[#This Row],[d (mm)]]</f>
        <v>440</v>
      </c>
      <c r="G37" s="111">
        <f t="shared" si="3"/>
        <v>2327314</v>
      </c>
      <c r="H37" s="111">
        <f t="shared" si="0"/>
        <v>3.3558541216005763E-6</v>
      </c>
      <c r="I37" s="111">
        <f>G37/(Table1123457[[#This Row],[b (mm)]]*Z37^2)</f>
        <v>4.0004159733777042E-3</v>
      </c>
      <c r="J37" s="111">
        <f t="shared" si="1"/>
        <v>0.78229522364480986</v>
      </c>
      <c r="K37" s="111">
        <f t="shared" si="2"/>
        <v>5.421302037539013E-7</v>
      </c>
      <c r="L37" s="111">
        <f>E37/(Table1123457[[#This Row],[b (mm)]]*Z37)</f>
        <v>1.3560732113144759E-3</v>
      </c>
      <c r="M37" s="111">
        <f>Table1123457[[#This Row],[M (KN.mm)]]/(Table1123457[[#This Row],[b (mm)]]*Table1123457[[#This Row],[d (mm)]])</f>
        <v>1.7601830282861897</v>
      </c>
      <c r="N37" s="111">
        <f>Table1123457[[#This Row],[M (KN.mm)]]/(Table1123457[[#This Row],[b (mm)]]*Table1123457[[#This Row],[h (mm)]])</f>
        <v>1.6408485856905157</v>
      </c>
      <c r="O37" s="111">
        <f>Table1123457[[#This Row],[M (KN.mm)]]/(Table1123457[[#This Row],[b (mm)]]*Table1123457[[#This Row],[h (mm)]]*Table1123457[[#This Row],[L(mm)]])</f>
        <v>6.3109560988096759E-4</v>
      </c>
      <c r="P37" s="111">
        <f>Table1123457[[#This Row],[M (KN.mm)]]/(Table1123457[[#This Row],[b (mm)]]*Table1123457[[#This Row],[d (mm)]]*Table1123457[[#This Row],[L(mm)]])</f>
        <v>6.7699347241776525E-4</v>
      </c>
      <c r="Q37" s="111">
        <f>Table1123457[[#This Row],[M (KN.mm)]]/(Table1123457[[#This Row],[b (mm)]]*Table1123457[[#This Row],[h (mm)]]*Table1123457[[#This Row],[L(mm)]]*Table1123457[[#This Row],[fc (Mpa)]])</f>
        <v>1.5544226844358807E-5</v>
      </c>
      <c r="R37" s="111">
        <f>Table1123457[[#This Row],[M (KN.mm)]]/(Table1123457[[#This Row],[b (mm)]]*Table1123457[[#This Row],[h (mm)]]*Table1123457[[#This Row],[L(mm)]]/2)</f>
        <v>1.2621912197619352E-3</v>
      </c>
      <c r="S37" s="111">
        <f>Table1123457[[#This Row],[M (KN.mm)]]/(Table1123457[[#This Row],[a (mm)]]*Table1123457[[#This Row],[b (mm)]]*Table1123457[[#This Row],[h (mm)]]*Table1123457[[#This Row],[L(mm)]]/2)</f>
        <v>9.72412341881306E-7</v>
      </c>
      <c r="T37" s="111">
        <f>G37/($AL$5*AH37*0.001*Table1123457[[#This Row],[pho (%)]])</f>
        <v>3.6958745832605468E-6</v>
      </c>
      <c r="U37" s="111">
        <f>Table1123457[[#This Row],[M (KN.mm)]]/(Table1123457[[#This Row],[b (mm)]]*Table1123457[[#This Row],[d (mm)]]*Table1123457[[#This Row],[pho (%)]])</f>
        <v>1.9385275641918387</v>
      </c>
      <c r="V37" s="111">
        <f>E37*224.8/(2*SQRT(Table1123457[[#This Row],[fc (Mpa)]]*145.037)*Table1123457[[#This Row],[b (mm)]]*Table1123457[[#This Row],[d (mm)]]*(1/25.4)^2)</f>
        <v>1.2814877539990777</v>
      </c>
      <c r="W37" s="111">
        <f>Table1123457[[#This Row],[M (KN.mm)]]/$G$41</f>
        <v>0.69929797191887677</v>
      </c>
      <c r="X37" s="111">
        <f t="shared" si="4"/>
        <v>1.2814877539990777</v>
      </c>
      <c r="Y37" s="111">
        <f>2.95*Table1123457[[#This Row],[d (mm)]]</f>
        <v>1298</v>
      </c>
      <c r="Z37" s="111">
        <v>440</v>
      </c>
      <c r="AA37" s="111">
        <v>472</v>
      </c>
      <c r="AB37" s="111">
        <v>3005</v>
      </c>
      <c r="AC37" s="7">
        <v>40.6</v>
      </c>
      <c r="AD37" s="111">
        <f>Table1123457[[#This Row],[pho (%)]]*Table1123457[[#This Row],[b (mm)]]*Table1123457[[#This Row],[h (mm)]]/100</f>
        <v>12878.708799999999</v>
      </c>
      <c r="AE37" s="160">
        <v>0.90800000000000003</v>
      </c>
      <c r="AF37" s="160">
        <v>525</v>
      </c>
      <c r="AG37" s="111">
        <f>(1/3-0.21*(MIN(Table1123457[[#This Row],[b (mm)]],AA37)/MAX(Table1123457[[#This Row],[b (mm)]],AA37))*(MIN(Table1123457[[#This Row],[b (mm)]],AA37)^4/(12*MAX(Table1123457[[#This Row],[b (mm)]],AA37)^4)))*MAX(Table1123457[[#This Row],[b (mm)]],AA37)*MIN(Table1123457[[#This Row],[b (mm)]],AA37)^3</f>
        <v>105328776062.70901</v>
      </c>
      <c r="AH37" s="111">
        <f>Table1123457[[#This Row],[b (mm)]]*AA37^3/12</f>
        <v>26332326186.666668</v>
      </c>
      <c r="AI37" s="111">
        <v>2600</v>
      </c>
      <c r="AK37" s="1"/>
    </row>
    <row r="38" spans="1:44" x14ac:dyDescent="0.25">
      <c r="A38" s="163" t="s">
        <v>146</v>
      </c>
      <c r="B38" s="163">
        <v>5</v>
      </c>
      <c r="C38" s="185">
        <v>37</v>
      </c>
      <c r="D38" s="185">
        <f>Table1123457[[#This Row],[a (mm)]]/Table1123457[[#This Row],[d (mm)]]</f>
        <v>2.95</v>
      </c>
      <c r="E38" s="240">
        <v>1795</v>
      </c>
      <c r="F38" s="137">
        <f>Table1123457[[#This Row],[d (mm)]]</f>
        <v>440</v>
      </c>
      <c r="G38" s="111">
        <f t="shared" si="3"/>
        <v>2329910</v>
      </c>
      <c r="H38" s="111">
        <f t="shared" si="0"/>
        <v>3.3595974056179781E-6</v>
      </c>
      <c r="I38" s="111">
        <f>G38/(Table1123457[[#This Row],[b (mm)]]*Z38^2)</f>
        <v>4.0048782332476173E-3</v>
      </c>
      <c r="J38" s="111">
        <f t="shared" si="1"/>
        <v>0.7831678340448599</v>
      </c>
      <c r="K38" s="111">
        <f t="shared" si="2"/>
        <v>5.427349223303139E-7</v>
      </c>
      <c r="L38" s="111">
        <f>E38/(Table1123457[[#This Row],[b (mm)]]*Z38)</f>
        <v>1.3575858417788533E-3</v>
      </c>
      <c r="M38" s="111">
        <f>Table1123457[[#This Row],[M (KN.mm)]]/(Table1123457[[#This Row],[b (mm)]]*Table1123457[[#This Row],[d (mm)]])</f>
        <v>1.7621464226289518</v>
      </c>
      <c r="N38" s="111">
        <f>Table1123457[[#This Row],[M (KN.mm)]]/(Table1123457[[#This Row],[b (mm)]]*Table1123457[[#This Row],[h (mm)]])</f>
        <v>1.6426788685524127</v>
      </c>
      <c r="O38" s="111">
        <f>Table1123457[[#This Row],[M (KN.mm)]]/(Table1123457[[#This Row],[b (mm)]]*Table1123457[[#This Row],[h (mm)]]*Table1123457[[#This Row],[L(mm)]])</f>
        <v>6.3179956482785099E-4</v>
      </c>
      <c r="P38" s="111">
        <f>Table1123457[[#This Row],[M (KN.mm)]]/(Table1123457[[#This Row],[b (mm)]]*Table1123457[[#This Row],[d (mm)]]*Table1123457[[#This Row],[L(mm)]])</f>
        <v>6.777486240880584E-4</v>
      </c>
      <c r="Q38" s="111">
        <f>Table1123457[[#This Row],[M (KN.mm)]]/(Table1123457[[#This Row],[b (mm)]]*Table1123457[[#This Row],[h (mm)]]*Table1123457[[#This Row],[L(mm)]]*Table1123457[[#This Row],[fc (Mpa)]])</f>
        <v>1.5561565636153966E-5</v>
      </c>
      <c r="R38" s="111">
        <f>Table1123457[[#This Row],[M (KN.mm)]]/(Table1123457[[#This Row],[b (mm)]]*Table1123457[[#This Row],[h (mm)]]*Table1123457[[#This Row],[L(mm)]]/2)</f>
        <v>1.263599129655702E-3</v>
      </c>
      <c r="S38" s="111">
        <f>Table1123457[[#This Row],[M (KN.mm)]]/(Table1123457[[#This Row],[a (mm)]]*Table1123457[[#This Row],[b (mm)]]*Table1123457[[#This Row],[h (mm)]]*Table1123457[[#This Row],[L(mm)]]/2)</f>
        <v>9.7349701822473188E-7</v>
      </c>
      <c r="T38" s="111">
        <f>G38/($AL$5*AH38*0.001*Table1123457[[#This Row],[pho (%)]])</f>
        <v>3.699997142751077E-6</v>
      </c>
      <c r="U38" s="111">
        <f>Table1123457[[#This Row],[M (KN.mm)]]/(Table1123457[[#This Row],[b (mm)]]*Table1123457[[#This Row],[d (mm)]]*Table1123457[[#This Row],[pho (%)]])</f>
        <v>1.9406898927631626</v>
      </c>
      <c r="V38" s="111">
        <f>E38*224.8/(2*SQRT(Table1123457[[#This Row],[fc (Mpa)]]*145.037)*Table1123457[[#This Row],[b (mm)]]*Table1123457[[#This Row],[d (mm)]]*(1/25.4)^2)</f>
        <v>1.2829171881920491</v>
      </c>
      <c r="W38" s="111">
        <f>Table1123457[[#This Row],[M (KN.mm)]]/$G$41</f>
        <v>0.7000780031201248</v>
      </c>
      <c r="X38" s="111">
        <f t="shared" si="4"/>
        <v>1.2829171881920491</v>
      </c>
      <c r="Y38" s="111">
        <f>2.95*Table1123457[[#This Row],[d (mm)]]</f>
        <v>1298</v>
      </c>
      <c r="Z38" s="111">
        <v>440</v>
      </c>
      <c r="AA38" s="111">
        <v>472</v>
      </c>
      <c r="AB38" s="111">
        <v>3005</v>
      </c>
      <c r="AC38" s="7">
        <v>40.6</v>
      </c>
      <c r="AD38" s="111">
        <f>Table1123457[[#This Row],[pho (%)]]*Table1123457[[#This Row],[b (mm)]]*Table1123457[[#This Row],[h (mm)]]/100</f>
        <v>12878.708799999999</v>
      </c>
      <c r="AE38" s="160">
        <v>0.90800000000000003</v>
      </c>
      <c r="AF38" s="160">
        <v>525</v>
      </c>
      <c r="AG38" s="111">
        <f>(1/3-0.21*(MIN(Table1123457[[#This Row],[b (mm)]],AA38)/MAX(Table1123457[[#This Row],[b (mm)]],AA38))*(MIN(Table1123457[[#This Row],[b (mm)]],AA38)^4/(12*MAX(Table1123457[[#This Row],[b (mm)]],AA38)^4)))*MAX(Table1123457[[#This Row],[b (mm)]],AA38)*MIN(Table1123457[[#This Row],[b (mm)]],AA38)^3</f>
        <v>105328776062.70901</v>
      </c>
      <c r="AH38" s="111">
        <f>Table1123457[[#This Row],[b (mm)]]*AA38^3/12</f>
        <v>26332326186.666668</v>
      </c>
      <c r="AI38" s="111">
        <v>2600</v>
      </c>
      <c r="AK38" s="139"/>
      <c r="AL38" s="139"/>
      <c r="AM38" s="139"/>
      <c r="AN38" s="139"/>
      <c r="AO38" s="139"/>
      <c r="AP38" s="139"/>
      <c r="AQ38" s="1"/>
      <c r="AR38" s="1"/>
    </row>
    <row r="39" spans="1:44" x14ac:dyDescent="0.25">
      <c r="A39" s="163" t="s">
        <v>146</v>
      </c>
      <c r="B39" s="163">
        <v>6</v>
      </c>
      <c r="C39" s="185">
        <v>38</v>
      </c>
      <c r="D39" s="185">
        <f>Table1123457[[#This Row],[a (mm)]]/Table1123457[[#This Row],[d (mm)]]</f>
        <v>2.95</v>
      </c>
      <c r="E39" s="240">
        <v>2152</v>
      </c>
      <c r="F39" s="137">
        <f>Table1123457[[#This Row],[d (mm)]]</f>
        <v>440</v>
      </c>
      <c r="G39" s="111">
        <f t="shared" si="3"/>
        <v>2793296</v>
      </c>
      <c r="H39" s="111">
        <f t="shared" si="0"/>
        <v>4.027773602724172E-6</v>
      </c>
      <c r="I39" s="111">
        <f>G39/(Table1123457[[#This Row],[b (mm)]]*Z39^2)</f>
        <v>4.8013916200272269E-3</v>
      </c>
      <c r="J39" s="111">
        <f t="shared" si="1"/>
        <v>0.93892879045378186</v>
      </c>
      <c r="K39" s="111">
        <f t="shared" si="2"/>
        <v>6.506771882199641E-7</v>
      </c>
      <c r="L39" s="111">
        <f>E39/(Table1123457[[#This Row],[b (mm)]]*Z39)</f>
        <v>1.6275903796702466E-3</v>
      </c>
      <c r="M39" s="111">
        <f>Table1123457[[#This Row],[M (KN.mm)]]/(Table1123457[[#This Row],[b (mm)]]*Table1123457[[#This Row],[d (mm)]])</f>
        <v>2.1126123128119803</v>
      </c>
      <c r="N39" s="111">
        <f>Table1123457[[#This Row],[M (KN.mm)]]/(Table1123457[[#This Row],[b (mm)]]*Table1123457[[#This Row],[h (mm)]])</f>
        <v>1.9693843594009983</v>
      </c>
      <c r="O39" s="111">
        <f>Table1123457[[#This Row],[M (KN.mm)]]/(Table1123457[[#This Row],[b (mm)]]*Table1123457[[#This Row],[h (mm)]]*Table1123457[[#This Row],[L(mm)]])</f>
        <v>7.5745552284653785E-4</v>
      </c>
      <c r="P39" s="111">
        <f>Table1123457[[#This Row],[M (KN.mm)]]/(Table1123457[[#This Row],[b (mm)]]*Table1123457[[#This Row],[d (mm)]]*Table1123457[[#This Row],[L(mm)]])</f>
        <v>8.1254319723537689E-4</v>
      </c>
      <c r="Q39" s="111">
        <f>Table1123457[[#This Row],[M (KN.mm)]]/(Table1123457[[#This Row],[b (mm)]]*Table1123457[[#This Row],[h (mm)]]*Table1123457[[#This Row],[L(mm)]]*Table1123457[[#This Row],[fc (Mpa)]])</f>
        <v>1.8656539971589603E-5</v>
      </c>
      <c r="R39" s="111">
        <f>Table1123457[[#This Row],[M (KN.mm)]]/(Table1123457[[#This Row],[b (mm)]]*Table1123457[[#This Row],[h (mm)]]*Table1123457[[#This Row],[L(mm)]]/2)</f>
        <v>1.5149110456930757E-3</v>
      </c>
      <c r="S39" s="111">
        <f>Table1123457[[#This Row],[M (KN.mm)]]/(Table1123457[[#This Row],[a (mm)]]*Table1123457[[#This Row],[b (mm)]]*Table1123457[[#This Row],[h (mm)]]*Table1123457[[#This Row],[L(mm)]]/2)</f>
        <v>1.1671117455262524E-6</v>
      </c>
      <c r="T39" s="111">
        <f>G39/($AL$5*AH39*0.001*Table1123457[[#This Row],[pho (%)]])</f>
        <v>4.4358740118107622E-6</v>
      </c>
      <c r="U39" s="111">
        <f>Table1123457[[#This Row],[M (KN.mm)]]/(Table1123457[[#This Row],[b (mm)]]*Table1123457[[#This Row],[d (mm)]]*Table1123457[[#This Row],[pho (%)]])</f>
        <v>2.3266655427444713</v>
      </c>
      <c r="V39" s="111">
        <f>E39*224.8/(2*SQRT(Table1123457[[#This Row],[fc (Mpa)]]*145.037)*Table1123457[[#This Row],[b (mm)]]*Table1123457[[#This Row],[d (mm)]]*(1/25.4)^2)</f>
        <v>1.5380711916374874</v>
      </c>
      <c r="W39" s="111">
        <f>Table1123457[[#This Row],[M (KN.mm)]]/$G$41</f>
        <v>0.83931357254290173</v>
      </c>
      <c r="X39" s="111">
        <f t="shared" si="4"/>
        <v>1.5380711916374874</v>
      </c>
      <c r="Y39" s="111">
        <f>2.95*Table1123457[[#This Row],[d (mm)]]</f>
        <v>1298</v>
      </c>
      <c r="Z39" s="111">
        <v>440</v>
      </c>
      <c r="AA39" s="111">
        <v>472</v>
      </c>
      <c r="AB39" s="111">
        <v>3005</v>
      </c>
      <c r="AC39" s="7">
        <v>40.6</v>
      </c>
      <c r="AD39" s="111">
        <f>Table1123457[[#This Row],[pho (%)]]*Table1123457[[#This Row],[b (mm)]]*Table1123457[[#This Row],[h (mm)]]/100</f>
        <v>12878.708799999999</v>
      </c>
      <c r="AE39" s="160">
        <v>0.90800000000000003</v>
      </c>
      <c r="AF39" s="160">
        <v>525</v>
      </c>
      <c r="AG39" s="111">
        <f>(1/3-0.21*(MIN(Table1123457[[#This Row],[b (mm)]],AA39)/MAX(Table1123457[[#This Row],[b (mm)]],AA39))*(MIN(Table1123457[[#This Row],[b (mm)]],AA39)^4/(12*MAX(Table1123457[[#This Row],[b (mm)]],AA39)^4)))*MAX(Table1123457[[#This Row],[b (mm)]],AA39)*MIN(Table1123457[[#This Row],[b (mm)]],AA39)^3</f>
        <v>105328776062.70901</v>
      </c>
      <c r="AH39" s="111">
        <f>Table1123457[[#This Row],[b (mm)]]*AA39^3/12</f>
        <v>26332326186.666668</v>
      </c>
      <c r="AI39" s="111">
        <v>2600</v>
      </c>
      <c r="AK39" s="139"/>
      <c r="AL39" s="139"/>
      <c r="AM39" s="139"/>
      <c r="AN39" s="139"/>
      <c r="AO39" s="139"/>
      <c r="AP39" s="139"/>
      <c r="AQ39" s="1"/>
      <c r="AR39" s="1"/>
    </row>
    <row r="40" spans="1:44" x14ac:dyDescent="0.25">
      <c r="A40" s="163" t="s">
        <v>146</v>
      </c>
      <c r="B40" s="163">
        <v>7</v>
      </c>
      <c r="C40" s="185">
        <v>39</v>
      </c>
      <c r="D40" s="185">
        <f>Table1123457[[#This Row],[a (mm)]]/Table1123457[[#This Row],[d (mm)]]</f>
        <v>2.95</v>
      </c>
      <c r="E40" s="240">
        <v>2394</v>
      </c>
      <c r="F40" s="137">
        <f>Table1123457[[#This Row],[d (mm)]]</f>
        <v>440</v>
      </c>
      <c r="G40" s="111">
        <f t="shared" si="3"/>
        <v>3107412</v>
      </c>
      <c r="H40" s="111">
        <f t="shared" si="0"/>
        <v>4.4807109688297714E-6</v>
      </c>
      <c r="I40" s="111">
        <f>G40/(Table1123457[[#This Row],[b (mm)]]*Z40^2)</f>
        <v>5.3413250642867947E-3</v>
      </c>
      <c r="J40" s="111">
        <f t="shared" si="1"/>
        <v>1.0445146488598298</v>
      </c>
      <c r="K40" s="111">
        <f t="shared" si="2"/>
        <v>7.2384813596588943E-7</v>
      </c>
      <c r="L40" s="111">
        <f>E40/(Table1123457[[#This Row],[b (mm)]]*Z40)</f>
        <v>1.8106186658599305E-3</v>
      </c>
      <c r="M40" s="111">
        <f>Table1123457[[#This Row],[M (KN.mm)]]/(Table1123457[[#This Row],[b (mm)]]*Table1123457[[#This Row],[d (mm)]])</f>
        <v>2.3501830282861897</v>
      </c>
      <c r="N40" s="111">
        <f>Table1123457[[#This Row],[M (KN.mm)]]/(Table1123457[[#This Row],[b (mm)]]*Table1123457[[#This Row],[h (mm)]])</f>
        <v>2.190848585690516</v>
      </c>
      <c r="O40" s="111">
        <f>Table1123457[[#This Row],[M (KN.mm)]]/(Table1123457[[#This Row],[b (mm)]]*Table1123457[[#This Row],[h (mm)]]*Table1123457[[#This Row],[L(mm)]])</f>
        <v>8.4263407141942916E-4</v>
      </c>
      <c r="P40" s="111">
        <f>Table1123457[[#This Row],[M (KN.mm)]]/(Table1123457[[#This Row],[b (mm)]]*Table1123457[[#This Row],[d (mm)]]*Table1123457[[#This Row],[L(mm)]])</f>
        <v>9.0391654934084218E-4</v>
      </c>
      <c r="Q40" s="111">
        <f>Table1123457[[#This Row],[M (KN.mm)]]/(Table1123457[[#This Row],[b (mm)]]*Table1123457[[#This Row],[h (mm)]]*Table1123457[[#This Row],[L(mm)]]*Table1123457[[#This Row],[fc (Mpa)]])</f>
        <v>2.0754533778803674E-5</v>
      </c>
      <c r="R40" s="111">
        <f>Table1123457[[#This Row],[M (KN.mm)]]/(Table1123457[[#This Row],[b (mm)]]*Table1123457[[#This Row],[h (mm)]]*Table1123457[[#This Row],[L(mm)]]/2)</f>
        <v>1.6852681428388583E-3</v>
      </c>
      <c r="S40" s="111">
        <f>Table1123457[[#This Row],[M (KN.mm)]]/(Table1123457[[#This Row],[a (mm)]]*Table1123457[[#This Row],[b (mm)]]*Table1123457[[#This Row],[h (mm)]]*Table1123457[[#This Row],[L(mm)]]/2)</f>
        <v>1.2983575830807846E-6</v>
      </c>
      <c r="T40" s="111">
        <f>G40/($AL$5*AH40*0.001*Table1123457[[#This Row],[pho (%)]])</f>
        <v>4.9347037101649466E-6</v>
      </c>
      <c r="U40" s="111">
        <f>Table1123457[[#This Row],[M (KN.mm)]]/(Table1123457[[#This Row],[b (mm)]]*Table1123457[[#This Row],[d (mm)]]*Table1123457[[#This Row],[pho (%)]])</f>
        <v>2.5883072998746579</v>
      </c>
      <c r="V40" s="111">
        <f>E40*224.8/(2*SQRT(Table1123457[[#This Row],[fc (Mpa)]]*145.037)*Table1123457[[#This Row],[b (mm)]]*Table1123457[[#This Row],[d (mm)]]*(1/25.4)^2)</f>
        <v>1.7110327289870564</v>
      </c>
      <c r="W40" s="111">
        <f>Table1123457[[#This Row],[M (KN.mm)]]/$G$41</f>
        <v>0.93369734789391579</v>
      </c>
      <c r="X40" s="111">
        <f t="shared" si="4"/>
        <v>1.7110327289870564</v>
      </c>
      <c r="Y40" s="111">
        <f>2.95*Table1123457[[#This Row],[d (mm)]]</f>
        <v>1298</v>
      </c>
      <c r="Z40" s="111">
        <v>440</v>
      </c>
      <c r="AA40" s="111">
        <v>472</v>
      </c>
      <c r="AB40" s="111">
        <v>3005</v>
      </c>
      <c r="AC40" s="7">
        <v>40.6</v>
      </c>
      <c r="AD40" s="111">
        <f>Table1123457[[#This Row],[pho (%)]]*Table1123457[[#This Row],[b (mm)]]*Table1123457[[#This Row],[h (mm)]]/100</f>
        <v>12878.708799999999</v>
      </c>
      <c r="AE40" s="160">
        <v>0.90800000000000003</v>
      </c>
      <c r="AF40" s="160">
        <v>525</v>
      </c>
      <c r="AG40" s="111">
        <f>(1/3-0.21*(MIN(Table1123457[[#This Row],[b (mm)]],AA40)/MAX(Table1123457[[#This Row],[b (mm)]],AA40))*(MIN(Table1123457[[#This Row],[b (mm)]],AA40)^4/(12*MAX(Table1123457[[#This Row],[b (mm)]],AA40)^4)))*MAX(Table1123457[[#This Row],[b (mm)]],AA40)*MIN(Table1123457[[#This Row],[b (mm)]],AA40)^3</f>
        <v>105328776062.70901</v>
      </c>
      <c r="AH40" s="111">
        <f>Table1123457[[#This Row],[b (mm)]]*AA40^3/12</f>
        <v>26332326186.666668</v>
      </c>
      <c r="AI40" s="111">
        <v>2600</v>
      </c>
      <c r="AK40" s="139"/>
      <c r="AL40" s="139"/>
      <c r="AM40" s="139"/>
      <c r="AN40" s="139"/>
      <c r="AO40" s="139"/>
      <c r="AP40" s="139"/>
      <c r="AQ40" s="1"/>
      <c r="AR40" s="1"/>
    </row>
    <row r="41" spans="1:44" x14ac:dyDescent="0.25">
      <c r="A41" s="163" t="s">
        <v>146</v>
      </c>
      <c r="B41" s="163" t="s">
        <v>141</v>
      </c>
      <c r="C41" s="185">
        <v>40</v>
      </c>
      <c r="D41" s="185">
        <f>Table1123457[[#This Row],[a (mm)]]/Table1123457[[#This Row],[d (mm)]]</f>
        <v>2.95</v>
      </c>
      <c r="E41" s="240">
        <v>2564</v>
      </c>
      <c r="F41" s="137">
        <f>Table1123457[[#This Row],[d (mm)]]</f>
        <v>440</v>
      </c>
      <c r="G41" s="111">
        <f t="shared" si="3"/>
        <v>3328072</v>
      </c>
      <c r="H41" s="111">
        <f t="shared" si="0"/>
        <v>4.798890110308911E-6</v>
      </c>
      <c r="I41" s="111">
        <f>G41/(Table1123457[[#This Row],[b (mm)]]*Z41^2)</f>
        <v>5.7206171532294663E-3</v>
      </c>
      <c r="J41" s="111">
        <f t="shared" si="1"/>
        <v>1.1186865328640785</v>
      </c>
      <c r="K41" s="111">
        <f t="shared" si="2"/>
        <v>7.7524921496096091E-7</v>
      </c>
      <c r="L41" s="111">
        <f>E41/(Table1123457[[#This Row],[b (mm)]]*Z41)</f>
        <v>1.9391922553320224E-3</v>
      </c>
      <c r="M41" s="111">
        <f>Table1123457[[#This Row],[M (KN.mm)]]/(Table1123457[[#This Row],[b (mm)]]*Table1123457[[#This Row],[d (mm)]])</f>
        <v>2.5170715474209651</v>
      </c>
      <c r="N41" s="111">
        <f>Table1123457[[#This Row],[M (KN.mm)]]/(Table1123457[[#This Row],[b (mm)]]*Table1123457[[#This Row],[h (mm)]])</f>
        <v>2.3464226289517471</v>
      </c>
      <c r="O41" s="111">
        <f>Table1123457[[#This Row],[M (KN.mm)]]/(Table1123457[[#This Row],[b (mm)]]*Table1123457[[#This Row],[h (mm)]]*Table1123457[[#This Row],[L(mm)]])</f>
        <v>9.0247024190451806E-4</v>
      </c>
      <c r="P41" s="111">
        <f>Table1123457[[#This Row],[M (KN.mm)]]/(Table1123457[[#This Row],[b (mm)]]*Table1123457[[#This Row],[d (mm)]]*Table1123457[[#This Row],[L(mm)]])</f>
        <v>9.6810444131575576E-4</v>
      </c>
      <c r="Q41" s="111">
        <f>Table1123457[[#This Row],[M (KN.mm)]]/(Table1123457[[#This Row],[b (mm)]]*Table1123457[[#This Row],[h (mm)]]*Table1123457[[#This Row],[L(mm)]]*Table1123457[[#This Row],[fc (Mpa)]])</f>
        <v>2.222833108139207E-5</v>
      </c>
      <c r="R41" s="111">
        <f>Table1123457[[#This Row],[M (KN.mm)]]/(Table1123457[[#This Row],[b (mm)]]*Table1123457[[#This Row],[h (mm)]]*Table1123457[[#This Row],[L(mm)]]/2)</f>
        <v>1.8049404838090361E-3</v>
      </c>
      <c r="S41" s="111">
        <f>Table1123457[[#This Row],[M (KN.mm)]]/(Table1123457[[#This Row],[a (mm)]]*Table1123457[[#This Row],[b (mm)]]*Table1123457[[#This Row],[h (mm)]]*Table1123457[[#This Row],[L(mm)]]/2)</f>
        <v>1.3905550722719848E-6</v>
      </c>
      <c r="T41" s="111">
        <f>G41/($AL$5*AH41*0.001*Table1123457[[#This Row],[pho (%)]])</f>
        <v>5.2851212668600343E-6</v>
      </c>
      <c r="U41" s="111">
        <f>Table1123457[[#This Row],[M (KN.mm)]]/(Table1123457[[#This Row],[b (mm)]]*Table1123457[[#This Row],[d (mm)]]*Table1123457[[#This Row],[pho (%)]])</f>
        <v>2.7721052284371859</v>
      </c>
      <c r="V41" s="111">
        <f>E41*224.8/(2*SQRT(Table1123457[[#This Row],[fc (Mpa)]]*145.037)*Table1123457[[#This Row],[b (mm)]]*Table1123457[[#This Row],[d (mm)]]*(1/25.4)^2)</f>
        <v>1.8325346353896459</v>
      </c>
      <c r="W41" s="111">
        <f>Table1123457[[#This Row],[M (KN.mm)]]/$G$41</f>
        <v>1</v>
      </c>
      <c r="X41" s="111">
        <f t="shared" si="4"/>
        <v>1.8325346353896459</v>
      </c>
      <c r="Y41" s="111">
        <f>2.95*Table1123457[[#This Row],[d (mm)]]</f>
        <v>1298</v>
      </c>
      <c r="Z41" s="111">
        <v>440</v>
      </c>
      <c r="AA41" s="111">
        <v>472</v>
      </c>
      <c r="AB41" s="111">
        <v>3005</v>
      </c>
      <c r="AC41" s="7">
        <v>40.6</v>
      </c>
      <c r="AD41" s="111">
        <f>Table1123457[[#This Row],[pho (%)]]*Table1123457[[#This Row],[b (mm)]]*Table1123457[[#This Row],[h (mm)]]/100</f>
        <v>12878.708799999999</v>
      </c>
      <c r="AE41" s="160">
        <v>0.90800000000000003</v>
      </c>
      <c r="AF41" s="160">
        <v>525</v>
      </c>
      <c r="AG41" s="111">
        <f>(1/3-0.21*(MIN(Table1123457[[#This Row],[b (mm)]],AA41)/MAX(Table1123457[[#This Row],[b (mm)]],AA41))*(MIN(Table1123457[[#This Row],[b (mm)]],AA41)^4/(12*MAX(Table1123457[[#This Row],[b (mm)]],AA41)^4)))*MAX(Table1123457[[#This Row],[b (mm)]],AA41)*MIN(Table1123457[[#This Row],[b (mm)]],AA41)^3</f>
        <v>105328776062.70901</v>
      </c>
      <c r="AH41" s="111">
        <f>Table1123457[[#This Row],[b (mm)]]*AA41^3/12</f>
        <v>26332326186.666668</v>
      </c>
      <c r="AI41" s="111">
        <v>2600</v>
      </c>
      <c r="AK41" s="139"/>
      <c r="AL41" s="139"/>
      <c r="AM41" s="139"/>
      <c r="AN41" s="139"/>
      <c r="AO41" s="139"/>
      <c r="AP41" s="139"/>
      <c r="AQ41" s="1"/>
      <c r="AR41" s="1"/>
    </row>
    <row r="42" spans="1:44" x14ac:dyDescent="0.25">
      <c r="A42" s="161" t="s">
        <v>147</v>
      </c>
      <c r="B42" s="161">
        <v>1</v>
      </c>
      <c r="C42" s="185">
        <v>41</v>
      </c>
      <c r="D42" s="185">
        <f>Table1123457[[#This Row],[a (mm)]]/Table1123457[[#This Row],[d (mm)]]</f>
        <v>3.3876221498371337</v>
      </c>
      <c r="E42" s="224">
        <v>97.8</v>
      </c>
      <c r="F42" s="137">
        <f>Table1123457[[#This Row],[d (mm)]]</f>
        <v>307</v>
      </c>
      <c r="G42" s="111">
        <f t="shared" si="3"/>
        <v>101712</v>
      </c>
      <c r="H42" s="111">
        <f t="shared" si="0"/>
        <v>1.7067066687912096E-6</v>
      </c>
      <c r="I42" s="111">
        <f>G42/(Table1123457[[#This Row],[b (mm)]]*Z42^2)</f>
        <v>1.5483269211187625E-3</v>
      </c>
      <c r="J42" s="111">
        <f t="shared" si="1"/>
        <v>0.28718323963191644</v>
      </c>
      <c r="K42" s="111">
        <f t="shared" si="2"/>
        <v>3.4460342101383234E-7</v>
      </c>
      <c r="L42" s="111">
        <f>E42/(Table1123457[[#This Row],[b (mm)]]*Z42)</f>
        <v>4.5705419690717311E-4</v>
      </c>
      <c r="M42" s="111">
        <f>Table1123457[[#This Row],[M (KN.mm)]]/(Table1123457[[#This Row],[b (mm)]]*Table1123457[[#This Row],[d (mm)]])</f>
        <v>0.47533636478346009</v>
      </c>
      <c r="N42" s="111">
        <f>Table1123457[[#This Row],[M (KN.mm)]]/(Table1123457[[#This Row],[b (mm)]]*Table1123457[[#This Row],[h (mm)]])</f>
        <v>0.43046685542336943</v>
      </c>
      <c r="O42" s="111">
        <f>Table1123457[[#This Row],[M (KN.mm)]]/(Table1123457[[#This Row],[b (mm)]]*Table1123457[[#This Row],[h (mm)]]*Table1123457[[#This Row],[L(mm)]])</f>
        <v>2.06955218953543E-4</v>
      </c>
      <c r="P42" s="111">
        <f>Table1123457[[#This Row],[M (KN.mm)]]/(Table1123457[[#This Row],[b (mm)]]*Table1123457[[#This Row],[d (mm)]]*Table1123457[[#This Row],[L(mm)]])</f>
        <v>2.2852709845358655E-4</v>
      </c>
      <c r="Q42" s="111">
        <f>Table1123457[[#This Row],[M (KN.mm)]]/(Table1123457[[#This Row],[b (mm)]]*Table1123457[[#This Row],[h (mm)]]*Table1123457[[#This Row],[L(mm)]]*Table1123457[[#This Row],[fc (Mpa)]])</f>
        <v>5.518805838761147E-6</v>
      </c>
      <c r="R42" s="111">
        <f>Table1123457[[#This Row],[M (KN.mm)]]/(Table1123457[[#This Row],[b (mm)]]*Table1123457[[#This Row],[h (mm)]]*Table1123457[[#This Row],[L(mm)]]/2)</f>
        <v>4.13910437907086E-4</v>
      </c>
      <c r="S42" s="111">
        <f>Table1123457[[#This Row],[M (KN.mm)]]/(Table1123457[[#This Row],[a (mm)]]*Table1123457[[#This Row],[b (mm)]]*Table1123457[[#This Row],[h (mm)]]*Table1123457[[#This Row],[L(mm)]]/2)</f>
        <v>3.9799080567989036E-7</v>
      </c>
      <c r="T42" s="111">
        <f>G42/($AL$5*AH42*0.001*Table1123457[[#This Row],[pho (%)]])</f>
        <v>1.8351684610658166E-6</v>
      </c>
      <c r="U42" s="111">
        <f>Table1123457[[#This Row],[M (KN.mm)]]/(Table1123457[[#This Row],[b (mm)]]*Table1123457[[#This Row],[d (mm)]]*Table1123457[[#This Row],[pho (%)]])</f>
        <v>0.51111437073490329</v>
      </c>
      <c r="V42" s="111">
        <f>E42*224.8/(2*SQRT(Table1123457[[#This Row],[fc (Mpa)]]*145.037)*Table1123457[[#This Row],[b (mm)]]*Table1123457[[#This Row],[d (mm)]]*(1/25.4)^2)</f>
        <v>0.44941380389370261</v>
      </c>
      <c r="W42" s="111">
        <f>Table1123457[[#This Row],[M (KN.mm)]]/$G$48</f>
        <v>0.20589473684210527</v>
      </c>
      <c r="X42" s="111">
        <f t="shared" si="4"/>
        <v>0.44941380389370261</v>
      </c>
      <c r="Y42" s="111">
        <v>1040</v>
      </c>
      <c r="Z42" s="111">
        <v>307</v>
      </c>
      <c r="AA42" s="111">
        <v>339</v>
      </c>
      <c r="AB42" s="111">
        <v>697</v>
      </c>
      <c r="AC42" s="7">
        <v>37.5</v>
      </c>
      <c r="AD42" s="111">
        <f>Table1123457[[#This Row],[pho (%)]]*Table1123457[[#This Row],[b (mm)]]*Table1123457[[#This Row],[h (mm)]]/100</f>
        <v>2197.4319</v>
      </c>
      <c r="AE42" s="160">
        <v>0.93</v>
      </c>
      <c r="AF42" s="160">
        <v>525</v>
      </c>
      <c r="AG42" s="111">
        <f>(1/3-0.21*(MIN(Table1123457[[#This Row],[b (mm)]],AA42)/MAX(Table1123457[[#This Row],[b (mm)]],AA42))*(MIN(Table1123457[[#This Row],[b (mm)]],AA42)^4/(12*MAX(Table1123457[[#This Row],[b (mm)]],AA42)^4)))*MAX(Table1123457[[#This Row],[b (mm)]],AA42)*MIN(Table1123457[[#This Row],[b (mm)]],AA42)^3</f>
        <v>9038359724.8259487</v>
      </c>
      <c r="AH42" s="111">
        <f>Table1123457[[#This Row],[b (mm)]]*AA42^3/12</f>
        <v>2262823220.25</v>
      </c>
      <c r="AI42" s="111">
        <v>2080</v>
      </c>
      <c r="AK42" s="139"/>
      <c r="AL42" s="139"/>
      <c r="AM42" s="139"/>
      <c r="AN42" s="139"/>
      <c r="AO42" s="139"/>
      <c r="AP42" s="139"/>
      <c r="AQ42" s="1"/>
      <c r="AR42" s="1"/>
    </row>
    <row r="43" spans="1:44" x14ac:dyDescent="0.25">
      <c r="A43" s="161" t="s">
        <v>147</v>
      </c>
      <c r="B43" s="161">
        <v>2</v>
      </c>
      <c r="C43" s="185">
        <v>42</v>
      </c>
      <c r="D43" s="185">
        <f>Table1123457[[#This Row],[a (mm)]]/Table1123457[[#This Row],[d (mm)]]</f>
        <v>3.3876221498371337</v>
      </c>
      <c r="E43" s="224">
        <v>200</v>
      </c>
      <c r="F43" s="137">
        <f>Table1123457[[#This Row],[d (mm)]]</f>
        <v>307</v>
      </c>
      <c r="G43" s="111">
        <f t="shared" si="3"/>
        <v>208000</v>
      </c>
      <c r="H43" s="111">
        <f t="shared" si="0"/>
        <v>3.4901976866895902E-6</v>
      </c>
      <c r="I43" s="111">
        <f>G43/(Table1123457[[#This Row],[b (mm)]]*Z43^2)</f>
        <v>3.1663127221242585E-3</v>
      </c>
      <c r="J43" s="111">
        <f t="shared" si="1"/>
        <v>0.58728678861332606</v>
      </c>
      <c r="K43" s="111">
        <f t="shared" si="2"/>
        <v>7.0471047242092506E-7</v>
      </c>
      <c r="L43" s="111">
        <f>E43/(Table1123457[[#This Row],[b (mm)]]*Z43)</f>
        <v>9.3467115931937246E-4</v>
      </c>
      <c r="M43" s="111">
        <f>Table1123457[[#This Row],[M (KN.mm)]]/(Table1123457[[#This Row],[b (mm)]]*Table1123457[[#This Row],[d (mm)]])</f>
        <v>0.9720580056921474</v>
      </c>
      <c r="N43" s="111">
        <f>Table1123457[[#This Row],[M (KN.mm)]]/(Table1123457[[#This Row],[b (mm)]]*Table1123457[[#This Row],[h (mm)]])</f>
        <v>0.88030031783920126</v>
      </c>
      <c r="O43" s="111">
        <f>Table1123457[[#This Row],[M (KN.mm)]]/(Table1123457[[#This Row],[b (mm)]]*Table1123457[[#This Row],[h (mm)]]*Table1123457[[#This Row],[L(mm)]])</f>
        <v>4.2322130665346216E-4</v>
      </c>
      <c r="P43" s="111">
        <f>Table1123457[[#This Row],[M (KN.mm)]]/(Table1123457[[#This Row],[b (mm)]]*Table1123457[[#This Row],[d (mm)]]*Table1123457[[#This Row],[L(mm)]])</f>
        <v>4.6733557965968623E-4</v>
      </c>
      <c r="Q43" s="111">
        <f>Table1123457[[#This Row],[M (KN.mm)]]/(Table1123457[[#This Row],[b (mm)]]*Table1123457[[#This Row],[h (mm)]]*Table1123457[[#This Row],[L(mm)]]*Table1123457[[#This Row],[fc (Mpa)]])</f>
        <v>1.1285901510758991E-5</v>
      </c>
      <c r="R43" s="111">
        <f>Table1123457[[#This Row],[M (KN.mm)]]/(Table1123457[[#This Row],[b (mm)]]*Table1123457[[#This Row],[h (mm)]]*Table1123457[[#This Row],[L(mm)]]/2)</f>
        <v>8.4644261330692433E-4</v>
      </c>
      <c r="S43" s="111">
        <f>Table1123457[[#This Row],[M (KN.mm)]]/(Table1123457[[#This Row],[a (mm)]]*Table1123457[[#This Row],[b (mm)]]*Table1123457[[#This Row],[h (mm)]]*Table1123457[[#This Row],[L(mm)]]/2)</f>
        <v>8.1388712817973494E-7</v>
      </c>
      <c r="T43" s="111">
        <f>G43/($AL$5*AH43*0.001*Table1123457[[#This Row],[pho (%)]])</f>
        <v>3.7529007383759031E-6</v>
      </c>
      <c r="U43" s="111">
        <f>Table1123457[[#This Row],[M (KN.mm)]]/(Table1123457[[#This Row],[b (mm)]]*Table1123457[[#This Row],[d (mm)]]*Table1123457[[#This Row],[pho (%)]])</f>
        <v>1.045223662034567</v>
      </c>
      <c r="V43" s="111">
        <f>E43*224.8/(2*SQRT(Table1123457[[#This Row],[fc (Mpa)]]*145.037)*Table1123457[[#This Row],[b (mm)]]*Table1123457[[#This Row],[d (mm)]]*(1/25.4)^2)</f>
        <v>0.91904663372945328</v>
      </c>
      <c r="W43" s="111">
        <f>Table1123457[[#This Row],[M (KN.mm)]]/$G$48</f>
        <v>0.42105263157894735</v>
      </c>
      <c r="X43" s="111">
        <f t="shared" si="4"/>
        <v>0.91904663372945328</v>
      </c>
      <c r="Y43" s="111">
        <v>1040</v>
      </c>
      <c r="Z43" s="111">
        <v>307</v>
      </c>
      <c r="AA43" s="111">
        <v>339</v>
      </c>
      <c r="AB43" s="111">
        <v>697</v>
      </c>
      <c r="AC43" s="7">
        <v>37.5</v>
      </c>
      <c r="AD43" s="111">
        <f>Table1123457[[#This Row],[pho (%)]]*Table1123457[[#This Row],[b (mm)]]*Table1123457[[#This Row],[h (mm)]]/100</f>
        <v>2197.4319</v>
      </c>
      <c r="AE43" s="160">
        <v>0.93</v>
      </c>
      <c r="AF43" s="160">
        <v>525</v>
      </c>
      <c r="AG43" s="111">
        <f>(1/3-0.21*(MIN(Table1123457[[#This Row],[b (mm)]],AA43)/MAX(Table1123457[[#This Row],[b (mm)]],AA43))*(MIN(Table1123457[[#This Row],[b (mm)]],AA43)^4/(12*MAX(Table1123457[[#This Row],[b (mm)]],AA43)^4)))*MAX(Table1123457[[#This Row],[b (mm)]],AA43)*MIN(Table1123457[[#This Row],[b (mm)]],AA43)^3</f>
        <v>9038359724.8259487</v>
      </c>
      <c r="AH43" s="111">
        <f>Table1123457[[#This Row],[b (mm)]]*AA43^3/12</f>
        <v>2262823220.25</v>
      </c>
      <c r="AI43" s="111">
        <v>2080</v>
      </c>
      <c r="AK43" s="139"/>
      <c r="AL43" s="139"/>
      <c r="AM43" s="139"/>
      <c r="AN43" s="139"/>
      <c r="AO43" s="139"/>
      <c r="AP43" s="139"/>
      <c r="AQ43" s="1"/>
      <c r="AR43" s="1"/>
    </row>
    <row r="44" spans="1:44" x14ac:dyDescent="0.25">
      <c r="A44" s="161" t="s">
        <v>147</v>
      </c>
      <c r="B44" s="161">
        <v>3</v>
      </c>
      <c r="C44" s="185">
        <v>43</v>
      </c>
      <c r="D44" s="185">
        <f>Table1123457[[#This Row],[a (mm)]]/Table1123457[[#This Row],[d (mm)]]</f>
        <v>3.3876221498371337</v>
      </c>
      <c r="E44" s="224">
        <v>275</v>
      </c>
      <c r="F44" s="137">
        <f>Table1123457[[#This Row],[d (mm)]]</f>
        <v>307</v>
      </c>
      <c r="G44" s="111">
        <f t="shared" si="3"/>
        <v>286000</v>
      </c>
      <c r="H44" s="111">
        <f t="shared" si="0"/>
        <v>4.7990218191981868E-6</v>
      </c>
      <c r="I44" s="111">
        <f>G44/(Table1123457[[#This Row],[b (mm)]]*Z44^2)</f>
        <v>4.3536799929208558E-3</v>
      </c>
      <c r="J44" s="111">
        <f t="shared" si="1"/>
        <v>0.80751933434332335</v>
      </c>
      <c r="K44" s="111">
        <f t="shared" si="2"/>
        <v>9.6897689957877201E-7</v>
      </c>
      <c r="L44" s="111">
        <f>E44/(Table1123457[[#This Row],[b (mm)]]*Z44)</f>
        <v>1.2851728440641372E-3</v>
      </c>
      <c r="M44" s="111">
        <f>Table1123457[[#This Row],[M (KN.mm)]]/(Table1123457[[#This Row],[b (mm)]]*Table1123457[[#This Row],[d (mm)]])</f>
        <v>1.3365797578267027</v>
      </c>
      <c r="N44" s="111">
        <f>Table1123457[[#This Row],[M (KN.mm)]]/(Table1123457[[#This Row],[b (mm)]]*Table1123457[[#This Row],[h (mm)]])</f>
        <v>1.2104129370289018</v>
      </c>
      <c r="O44" s="111">
        <f>Table1123457[[#This Row],[M (KN.mm)]]/(Table1123457[[#This Row],[b (mm)]]*Table1123457[[#This Row],[h (mm)]]*Table1123457[[#This Row],[L(mm)]])</f>
        <v>5.8192929664851046E-4</v>
      </c>
      <c r="P44" s="111">
        <f>Table1123457[[#This Row],[M (KN.mm)]]/(Table1123457[[#This Row],[b (mm)]]*Table1123457[[#This Row],[d (mm)]]*Table1123457[[#This Row],[L(mm)]])</f>
        <v>6.4258642203206858E-4</v>
      </c>
      <c r="Q44" s="111">
        <f>Table1123457[[#This Row],[M (KN.mm)]]/(Table1123457[[#This Row],[b (mm)]]*Table1123457[[#This Row],[h (mm)]]*Table1123457[[#This Row],[L(mm)]]*Table1123457[[#This Row],[fc (Mpa)]])</f>
        <v>1.5518114577293612E-5</v>
      </c>
      <c r="R44" s="111">
        <f>Table1123457[[#This Row],[M (KN.mm)]]/(Table1123457[[#This Row],[b (mm)]]*Table1123457[[#This Row],[h (mm)]]*Table1123457[[#This Row],[L(mm)]]/2)</f>
        <v>1.1638585932970209E-3</v>
      </c>
      <c r="S44" s="111">
        <f>Table1123457[[#This Row],[M (KN.mm)]]/(Table1123457[[#This Row],[a (mm)]]*Table1123457[[#This Row],[b (mm)]]*Table1123457[[#This Row],[h (mm)]]*Table1123457[[#This Row],[L(mm)]]/2)</f>
        <v>1.1190948012471355E-6</v>
      </c>
      <c r="T44" s="111">
        <f>G44/($AL$5*AH44*0.001*Table1123457[[#This Row],[pho (%)]])</f>
        <v>5.1602385152668664E-6</v>
      </c>
      <c r="U44" s="111">
        <f>Table1123457[[#This Row],[M (KN.mm)]]/(Table1123457[[#This Row],[b (mm)]]*Table1123457[[#This Row],[d (mm)]]*Table1123457[[#This Row],[pho (%)]])</f>
        <v>1.4371825352975296</v>
      </c>
      <c r="V44" s="111">
        <f>E44*224.8/(2*SQRT(Table1123457[[#This Row],[fc (Mpa)]]*145.037)*Table1123457[[#This Row],[b (mm)]]*Table1123457[[#This Row],[d (mm)]]*(1/25.4)^2)</f>
        <v>1.2636891213779984</v>
      </c>
      <c r="W44" s="111">
        <f>Table1123457[[#This Row],[M (KN.mm)]]/$G$48</f>
        <v>0.57894736842105265</v>
      </c>
      <c r="X44" s="111">
        <f t="shared" si="4"/>
        <v>1.2636891213779984</v>
      </c>
      <c r="Y44" s="111">
        <v>1040</v>
      </c>
      <c r="Z44" s="111">
        <v>307</v>
      </c>
      <c r="AA44" s="111">
        <v>339</v>
      </c>
      <c r="AB44" s="111">
        <v>697</v>
      </c>
      <c r="AC44" s="7">
        <v>37.5</v>
      </c>
      <c r="AD44" s="111">
        <f>Table1123457[[#This Row],[pho (%)]]*Table1123457[[#This Row],[b (mm)]]*Table1123457[[#This Row],[h (mm)]]/100</f>
        <v>2197.4319</v>
      </c>
      <c r="AE44" s="160">
        <v>0.93</v>
      </c>
      <c r="AF44" s="160">
        <v>525</v>
      </c>
      <c r="AG44" s="111">
        <f>(1/3-0.21*(MIN(Table1123457[[#This Row],[b (mm)]],AA44)/MAX(Table1123457[[#This Row],[b (mm)]],AA44))*(MIN(Table1123457[[#This Row],[b (mm)]],AA44)^4/(12*MAX(Table1123457[[#This Row],[b (mm)]],AA44)^4)))*MAX(Table1123457[[#This Row],[b (mm)]],AA44)*MIN(Table1123457[[#This Row],[b (mm)]],AA44)^3</f>
        <v>9038359724.8259487</v>
      </c>
      <c r="AH44" s="111">
        <f>Table1123457[[#This Row],[b (mm)]]*AA44^3/12</f>
        <v>2262823220.25</v>
      </c>
      <c r="AI44" s="111">
        <v>2080</v>
      </c>
      <c r="AK44" s="139"/>
      <c r="AL44" s="139"/>
      <c r="AM44" s="139"/>
      <c r="AN44" s="139"/>
      <c r="AO44" s="139"/>
      <c r="AP44" s="139"/>
      <c r="AQ44" s="1"/>
      <c r="AR44" s="1"/>
    </row>
    <row r="45" spans="1:44" x14ac:dyDescent="0.25">
      <c r="A45" s="161" t="s">
        <v>147</v>
      </c>
      <c r="B45" s="161">
        <v>4</v>
      </c>
      <c r="C45" s="185">
        <v>44</v>
      </c>
      <c r="D45" s="185">
        <f>Table1123457[[#This Row],[a (mm)]]/Table1123457[[#This Row],[d (mm)]]</f>
        <v>3.3876221498371337</v>
      </c>
      <c r="E45" s="224">
        <v>349</v>
      </c>
      <c r="F45" s="137">
        <f>Table1123457[[#This Row],[d (mm)]]</f>
        <v>307</v>
      </c>
      <c r="G45" s="111">
        <f t="shared" si="3"/>
        <v>362960</v>
      </c>
      <c r="H45" s="111">
        <f t="shared" si="0"/>
        <v>6.0903949632733348E-6</v>
      </c>
      <c r="I45" s="111">
        <f>G45/(Table1123457[[#This Row],[b (mm)]]*Z45^2)</f>
        <v>5.525215700106831E-3</v>
      </c>
      <c r="J45" s="111">
        <f t="shared" si="1"/>
        <v>1.0248154461302539</v>
      </c>
      <c r="K45" s="111">
        <f t="shared" si="2"/>
        <v>1.2297197743745141E-6</v>
      </c>
      <c r="L45" s="111">
        <f>E45/(Table1123457[[#This Row],[b (mm)]]*Z45)</f>
        <v>1.631001173012305E-3</v>
      </c>
      <c r="M45" s="111">
        <f>Table1123457[[#This Row],[M (KN.mm)]]/(Table1123457[[#This Row],[b (mm)]]*Table1123457[[#This Row],[d (mm)]])</f>
        <v>1.6962412199327972</v>
      </c>
      <c r="N45" s="111">
        <f>Table1123457[[#This Row],[M (KN.mm)]]/(Table1123457[[#This Row],[b (mm)]]*Table1123457[[#This Row],[h (mm)]])</f>
        <v>1.5361240546294062</v>
      </c>
      <c r="O45" s="111">
        <f>Table1123457[[#This Row],[M (KN.mm)]]/(Table1123457[[#This Row],[b (mm)]]*Table1123457[[#This Row],[h (mm)]]*Table1123457[[#This Row],[L(mm)]])</f>
        <v>7.3852118011029149E-4</v>
      </c>
      <c r="P45" s="111">
        <f>Table1123457[[#This Row],[M (KN.mm)]]/(Table1123457[[#This Row],[b (mm)]]*Table1123457[[#This Row],[d (mm)]]*Table1123457[[#This Row],[L(mm)]])</f>
        <v>8.1550058650615249E-4</v>
      </c>
      <c r="Q45" s="111">
        <f>Table1123457[[#This Row],[M (KN.mm)]]/(Table1123457[[#This Row],[b (mm)]]*Table1123457[[#This Row],[h (mm)]]*Table1123457[[#This Row],[L(mm)]]*Table1123457[[#This Row],[fc (Mpa)]])</f>
        <v>1.9693898136274441E-5</v>
      </c>
      <c r="R45" s="111">
        <f>Table1123457[[#This Row],[M (KN.mm)]]/(Table1123457[[#This Row],[b (mm)]]*Table1123457[[#This Row],[h (mm)]]*Table1123457[[#This Row],[L(mm)]]/2)</f>
        <v>1.477042360220583E-3</v>
      </c>
      <c r="S45" s="111">
        <f>Table1123457[[#This Row],[M (KN.mm)]]/(Table1123457[[#This Row],[a (mm)]]*Table1123457[[#This Row],[b (mm)]]*Table1123457[[#This Row],[h (mm)]]*Table1123457[[#This Row],[L(mm)]]/2)</f>
        <v>1.4202330386736374E-6</v>
      </c>
      <c r="T45" s="111">
        <f>G45/($AL$5*AH45*0.001*Table1123457[[#This Row],[pho (%)]])</f>
        <v>6.548811788465951E-6</v>
      </c>
      <c r="U45" s="111">
        <f>Table1123457[[#This Row],[M (KN.mm)]]/(Table1123457[[#This Row],[b (mm)]]*Table1123457[[#This Row],[d (mm)]]*Table1123457[[#This Row],[pho (%)]])</f>
        <v>1.8239152902503195</v>
      </c>
      <c r="V45" s="111">
        <f>E45*224.8/(2*SQRT(Table1123457[[#This Row],[fc (Mpa)]]*145.037)*Table1123457[[#This Row],[b (mm)]]*Table1123457[[#This Row],[d (mm)]]*(1/25.4)^2)</f>
        <v>1.603736375857896</v>
      </c>
      <c r="W45" s="111">
        <f>Table1123457[[#This Row],[M (KN.mm)]]/$G$48</f>
        <v>0.73473684210526313</v>
      </c>
      <c r="X45" s="111">
        <f t="shared" si="4"/>
        <v>1.603736375857896</v>
      </c>
      <c r="Y45" s="111">
        <v>1040</v>
      </c>
      <c r="Z45" s="111">
        <v>307</v>
      </c>
      <c r="AA45" s="111">
        <v>339</v>
      </c>
      <c r="AB45" s="111">
        <v>697</v>
      </c>
      <c r="AC45" s="7">
        <v>37.5</v>
      </c>
      <c r="AD45" s="111">
        <f>Table1123457[[#This Row],[pho (%)]]*Table1123457[[#This Row],[b (mm)]]*Table1123457[[#This Row],[h (mm)]]/100</f>
        <v>2197.4319</v>
      </c>
      <c r="AE45" s="160">
        <v>0.93</v>
      </c>
      <c r="AF45" s="160">
        <v>525</v>
      </c>
      <c r="AG45" s="111">
        <f>(1/3-0.21*(MIN(Table1123457[[#This Row],[b (mm)]],AA45)/MAX(Table1123457[[#This Row],[b (mm)]],AA45))*(MIN(Table1123457[[#This Row],[b (mm)]],AA45)^4/(12*MAX(Table1123457[[#This Row],[b (mm)]],AA45)^4)))*MAX(Table1123457[[#This Row],[b (mm)]],AA45)*MIN(Table1123457[[#This Row],[b (mm)]],AA45)^3</f>
        <v>9038359724.8259487</v>
      </c>
      <c r="AH45" s="111">
        <f>Table1123457[[#This Row],[b (mm)]]*AA45^3/12</f>
        <v>2262823220.25</v>
      </c>
      <c r="AI45" s="111">
        <v>2080</v>
      </c>
      <c r="AK45" s="139"/>
      <c r="AL45" s="139"/>
      <c r="AM45" s="139"/>
      <c r="AN45" s="139"/>
      <c r="AO45" s="139"/>
      <c r="AP45" s="139"/>
      <c r="AQ45" s="1"/>
      <c r="AR45" s="1"/>
    </row>
    <row r="46" spans="1:44" x14ac:dyDescent="0.25">
      <c r="A46" s="161" t="s">
        <v>147</v>
      </c>
      <c r="B46" s="161">
        <v>5</v>
      </c>
      <c r="C46" s="185">
        <v>45</v>
      </c>
      <c r="D46" s="185">
        <f>Table1123457[[#This Row],[a (mm)]]/Table1123457[[#This Row],[d (mm)]]</f>
        <v>3.3876221498371337</v>
      </c>
      <c r="E46" s="224">
        <v>399</v>
      </c>
      <c r="F46" s="137">
        <f>Table1123457[[#This Row],[d (mm)]]</f>
        <v>307</v>
      </c>
      <c r="G46" s="111">
        <f t="shared" si="3"/>
        <v>414960</v>
      </c>
      <c r="H46" s="111">
        <f t="shared" si="0"/>
        <v>6.9629443849457325E-6</v>
      </c>
      <c r="I46" s="111">
        <f>G46/(Table1123457[[#This Row],[b (mm)]]*Z46^2)</f>
        <v>6.3167938806378953E-3</v>
      </c>
      <c r="J46" s="111">
        <f t="shared" si="1"/>
        <v>1.1716371432835855</v>
      </c>
      <c r="K46" s="111">
        <f t="shared" si="2"/>
        <v>1.4058973924797455E-6</v>
      </c>
      <c r="L46" s="111">
        <f>E46/(Table1123457[[#This Row],[b (mm)]]*Z46)</f>
        <v>1.8646689628421481E-3</v>
      </c>
      <c r="M46" s="111">
        <f>Table1123457[[#This Row],[M (KN.mm)]]/(Table1123457[[#This Row],[b (mm)]]*Table1123457[[#This Row],[d (mm)]])</f>
        <v>1.9392557213558339</v>
      </c>
      <c r="N46" s="111">
        <f>Table1123457[[#This Row],[M (KN.mm)]]/(Table1123457[[#This Row],[b (mm)]]*Table1123457[[#This Row],[h (mm)]])</f>
        <v>1.7561991340892067</v>
      </c>
      <c r="O46" s="111">
        <f>Table1123457[[#This Row],[M (KN.mm)]]/(Table1123457[[#This Row],[b (mm)]]*Table1123457[[#This Row],[h (mm)]]*Table1123457[[#This Row],[L(mm)]])</f>
        <v>8.4432650677365706E-4</v>
      </c>
      <c r="P46" s="111">
        <f>Table1123457[[#This Row],[M (KN.mm)]]/(Table1123457[[#This Row],[b (mm)]]*Table1123457[[#This Row],[d (mm)]]*Table1123457[[#This Row],[L(mm)]])</f>
        <v>9.3233448142107406E-4</v>
      </c>
      <c r="Q46" s="111">
        <f>Table1123457[[#This Row],[M (KN.mm)]]/(Table1123457[[#This Row],[b (mm)]]*Table1123457[[#This Row],[h (mm)]]*Table1123457[[#This Row],[L(mm)]]*Table1123457[[#This Row],[fc (Mpa)]])</f>
        <v>2.2515373513964187E-5</v>
      </c>
      <c r="R46" s="111">
        <f>Table1123457[[#This Row],[M (KN.mm)]]/(Table1123457[[#This Row],[b (mm)]]*Table1123457[[#This Row],[h (mm)]]*Table1123457[[#This Row],[L(mm)]]/2)</f>
        <v>1.6886530135473141E-3</v>
      </c>
      <c r="S46" s="111">
        <f>Table1123457[[#This Row],[M (KN.mm)]]/(Table1123457[[#This Row],[a (mm)]]*Table1123457[[#This Row],[b (mm)]]*Table1123457[[#This Row],[h (mm)]]*Table1123457[[#This Row],[L(mm)]]/2)</f>
        <v>1.6237048207185712E-6</v>
      </c>
      <c r="T46" s="111">
        <f>G46/($AL$5*AH46*0.001*Table1123457[[#This Row],[pho (%)]])</f>
        <v>7.4870369730599266E-6</v>
      </c>
      <c r="U46" s="111">
        <f>Table1123457[[#This Row],[M (KN.mm)]]/(Table1123457[[#This Row],[b (mm)]]*Table1123457[[#This Row],[d (mm)]]*Table1123457[[#This Row],[pho (%)]])</f>
        <v>2.0852212057589612</v>
      </c>
      <c r="V46" s="111">
        <f>E46*224.8/(2*SQRT(Table1123457[[#This Row],[fc (Mpa)]]*145.037)*Table1123457[[#This Row],[b (mm)]]*Table1123457[[#This Row],[d (mm)]]*(1/25.4)^2)</f>
        <v>1.8334980342902596</v>
      </c>
      <c r="W46" s="111">
        <f>Table1123457[[#This Row],[M (KN.mm)]]/$G$48</f>
        <v>0.84</v>
      </c>
      <c r="X46" s="111">
        <f t="shared" si="4"/>
        <v>1.8334980342902596</v>
      </c>
      <c r="Y46" s="111">
        <v>1040</v>
      </c>
      <c r="Z46" s="111">
        <v>307</v>
      </c>
      <c r="AA46" s="111">
        <v>339</v>
      </c>
      <c r="AB46" s="111">
        <v>697</v>
      </c>
      <c r="AC46" s="7">
        <v>37.5</v>
      </c>
      <c r="AD46" s="111">
        <f>Table1123457[[#This Row],[pho (%)]]*Table1123457[[#This Row],[b (mm)]]*Table1123457[[#This Row],[h (mm)]]/100</f>
        <v>2197.4319</v>
      </c>
      <c r="AE46" s="160">
        <v>0.93</v>
      </c>
      <c r="AF46" s="160">
        <v>525</v>
      </c>
      <c r="AG46" s="111">
        <f>(1/3-0.21*(MIN(Table1123457[[#This Row],[b (mm)]],AA46)/MAX(Table1123457[[#This Row],[b (mm)]],AA46))*(MIN(Table1123457[[#This Row],[b (mm)]],AA46)^4/(12*MAX(Table1123457[[#This Row],[b (mm)]],AA46)^4)))*MAX(Table1123457[[#This Row],[b (mm)]],AA46)*MIN(Table1123457[[#This Row],[b (mm)]],AA46)^3</f>
        <v>9038359724.8259487</v>
      </c>
      <c r="AH46" s="111">
        <f>Table1123457[[#This Row],[b (mm)]]*AA46^3/12</f>
        <v>2262823220.25</v>
      </c>
      <c r="AI46" s="111">
        <v>2080</v>
      </c>
      <c r="AK46" s="139"/>
      <c r="AL46" s="139"/>
      <c r="AM46" s="139"/>
      <c r="AN46" s="139"/>
      <c r="AO46" s="139"/>
      <c r="AP46" s="139"/>
      <c r="AQ46" s="1"/>
      <c r="AR46" s="1"/>
    </row>
    <row r="47" spans="1:44" x14ac:dyDescent="0.25">
      <c r="A47" s="161" t="s">
        <v>147</v>
      </c>
      <c r="B47" s="161">
        <v>6</v>
      </c>
      <c r="C47" s="185">
        <v>46</v>
      </c>
      <c r="D47" s="185">
        <f>Table1123457[[#This Row],[a (mm)]]/Table1123457[[#This Row],[d (mm)]]</f>
        <v>3.3876221498371337</v>
      </c>
      <c r="E47" s="224">
        <v>449</v>
      </c>
      <c r="F47" s="137">
        <f>Table1123457[[#This Row],[d (mm)]]</f>
        <v>307</v>
      </c>
      <c r="G47" s="111">
        <f t="shared" si="3"/>
        <v>466960</v>
      </c>
      <c r="H47" s="111">
        <f t="shared" si="0"/>
        <v>7.8354938066181295E-6</v>
      </c>
      <c r="I47" s="111">
        <f>G47/(Table1123457[[#This Row],[b (mm)]]*Z47^2)</f>
        <v>7.1083720611689605E-3</v>
      </c>
      <c r="J47" s="111">
        <f t="shared" si="1"/>
        <v>1.3184588404369169</v>
      </c>
      <c r="K47" s="111">
        <f t="shared" si="2"/>
        <v>1.5820750105849767E-6</v>
      </c>
      <c r="L47" s="111">
        <f>E47/(Table1123457[[#This Row],[b (mm)]]*Z47)</f>
        <v>2.0983367526719913E-3</v>
      </c>
      <c r="M47" s="111">
        <f>Table1123457[[#This Row],[M (KN.mm)]]/(Table1123457[[#This Row],[b (mm)]]*Table1123457[[#This Row],[d (mm)]])</f>
        <v>2.1822702227788708</v>
      </c>
      <c r="N47" s="111">
        <f>Table1123457[[#This Row],[M (KN.mm)]]/(Table1123457[[#This Row],[b (mm)]]*Table1123457[[#This Row],[h (mm)]])</f>
        <v>1.976274213549007</v>
      </c>
      <c r="O47" s="111">
        <f>Table1123457[[#This Row],[M (KN.mm)]]/(Table1123457[[#This Row],[b (mm)]]*Table1123457[[#This Row],[h (mm)]]*Table1123457[[#This Row],[L(mm)]])</f>
        <v>9.5013183343702252E-4</v>
      </c>
      <c r="P47" s="111">
        <f>Table1123457[[#This Row],[M (KN.mm)]]/(Table1123457[[#This Row],[b (mm)]]*Table1123457[[#This Row],[d (mm)]]*Table1123457[[#This Row],[L(mm)]])</f>
        <v>1.0491683763359956E-3</v>
      </c>
      <c r="Q47" s="111">
        <f>Table1123457[[#This Row],[M (KN.mm)]]/(Table1123457[[#This Row],[b (mm)]]*Table1123457[[#This Row],[h (mm)]]*Table1123457[[#This Row],[L(mm)]]*Table1123457[[#This Row],[fc (Mpa)]])</f>
        <v>2.5336848891653934E-5</v>
      </c>
      <c r="R47" s="111">
        <f>Table1123457[[#This Row],[M (KN.mm)]]/(Table1123457[[#This Row],[b (mm)]]*Table1123457[[#This Row],[h (mm)]]*Table1123457[[#This Row],[L(mm)]]/2)</f>
        <v>1.900263666874045E-3</v>
      </c>
      <c r="S47" s="111">
        <f>Table1123457[[#This Row],[M (KN.mm)]]/(Table1123457[[#This Row],[a (mm)]]*Table1123457[[#This Row],[b (mm)]]*Table1123457[[#This Row],[h (mm)]]*Table1123457[[#This Row],[L(mm)]]/2)</f>
        <v>1.827176602763505E-6</v>
      </c>
      <c r="T47" s="111">
        <f>G47/($AL$5*AH47*0.001*Table1123457[[#This Row],[pho (%)]])</f>
        <v>8.4252621576539021E-6</v>
      </c>
      <c r="U47" s="111">
        <f>Table1123457[[#This Row],[M (KN.mm)]]/(Table1123457[[#This Row],[b (mm)]]*Table1123457[[#This Row],[d (mm)]]*Table1123457[[#This Row],[pho (%)]])</f>
        <v>2.3465271212676031</v>
      </c>
      <c r="V47" s="111">
        <f>E47*224.8/(2*SQRT(Table1123457[[#This Row],[fc (Mpa)]]*145.037)*Table1123457[[#This Row],[b (mm)]]*Table1123457[[#This Row],[d (mm)]]*(1/25.4)^2)</f>
        <v>2.0632596927226228</v>
      </c>
      <c r="W47" s="111">
        <f>Table1123457[[#This Row],[M (KN.mm)]]/$G$48</f>
        <v>0.94526315789473681</v>
      </c>
      <c r="X47" s="111">
        <f t="shared" si="4"/>
        <v>2.0632596927226228</v>
      </c>
      <c r="Y47" s="111">
        <v>1040</v>
      </c>
      <c r="Z47" s="111">
        <v>307</v>
      </c>
      <c r="AA47" s="111">
        <v>339</v>
      </c>
      <c r="AB47" s="111">
        <v>697</v>
      </c>
      <c r="AC47" s="7">
        <v>37.5</v>
      </c>
      <c r="AD47" s="111">
        <f>Table1123457[[#This Row],[pho (%)]]*Table1123457[[#This Row],[b (mm)]]*Table1123457[[#This Row],[h (mm)]]/100</f>
        <v>2197.4319</v>
      </c>
      <c r="AE47" s="160">
        <v>0.93</v>
      </c>
      <c r="AF47" s="160">
        <v>525</v>
      </c>
      <c r="AG47" s="111">
        <f>(1/3-0.21*(MIN(Table1123457[[#This Row],[b (mm)]],AA47)/MAX(Table1123457[[#This Row],[b (mm)]],AA47))*(MIN(Table1123457[[#This Row],[b (mm)]],AA47)^4/(12*MAX(Table1123457[[#This Row],[b (mm)]],AA47)^4)))*MAX(Table1123457[[#This Row],[b (mm)]],AA47)*MIN(Table1123457[[#This Row],[b (mm)]],AA47)^3</f>
        <v>9038359724.8259487</v>
      </c>
      <c r="AH47" s="111">
        <f>Table1123457[[#This Row],[b (mm)]]*AA47^3/12</f>
        <v>2262823220.25</v>
      </c>
      <c r="AI47" s="111">
        <v>2080</v>
      </c>
      <c r="AK47" s="139"/>
      <c r="AL47" s="139"/>
      <c r="AM47" s="139"/>
      <c r="AN47" s="139"/>
      <c r="AO47" s="139"/>
      <c r="AP47" s="139"/>
      <c r="AQ47" s="1"/>
      <c r="AR47" s="1"/>
    </row>
    <row r="48" spans="1:44" x14ac:dyDescent="0.25">
      <c r="A48" s="161" t="s">
        <v>147</v>
      </c>
      <c r="B48" s="161" t="s">
        <v>141</v>
      </c>
      <c r="C48" s="185">
        <v>47</v>
      </c>
      <c r="D48" s="185">
        <f>Table1123457[[#This Row],[a (mm)]]/Table1123457[[#This Row],[d (mm)]]</f>
        <v>3.3876221498371337</v>
      </c>
      <c r="E48" s="224">
        <v>475</v>
      </c>
      <c r="F48" s="137">
        <f>Table1123457[[#This Row],[d (mm)]]</f>
        <v>307</v>
      </c>
      <c r="G48" s="111">
        <f t="shared" si="3"/>
        <v>494000</v>
      </c>
      <c r="H48" s="111">
        <f t="shared" si="0"/>
        <v>8.289219505887777E-6</v>
      </c>
      <c r="I48" s="111">
        <f>G48/(Table1123457[[#This Row],[b (mm)]]*Z48^2)</f>
        <v>7.5199927150451139E-3</v>
      </c>
      <c r="J48" s="111">
        <f t="shared" si="1"/>
        <v>1.3948061229566493</v>
      </c>
      <c r="K48" s="111">
        <f t="shared" si="2"/>
        <v>1.6736873719996971E-6</v>
      </c>
      <c r="L48" s="111">
        <f>E48/(Table1123457[[#This Row],[b (mm)]]*Z48)</f>
        <v>2.2198440033835095E-3</v>
      </c>
      <c r="M48" s="111">
        <f>Table1123457[[#This Row],[M (KN.mm)]]/(Table1123457[[#This Row],[b (mm)]]*Table1123457[[#This Row],[d (mm)]])</f>
        <v>2.30863776351885</v>
      </c>
      <c r="N48" s="111">
        <f>Table1123457[[#This Row],[M (KN.mm)]]/(Table1123457[[#This Row],[b (mm)]]*Table1123457[[#This Row],[h (mm)]])</f>
        <v>2.0907132548681031</v>
      </c>
      <c r="O48" s="111">
        <f>Table1123457[[#This Row],[M (KN.mm)]]/(Table1123457[[#This Row],[b (mm)]]*Table1123457[[#This Row],[h (mm)]]*Table1123457[[#This Row],[L(mm)]])</f>
        <v>1.0051506033019726E-3</v>
      </c>
      <c r="P48" s="111">
        <f>Table1123457[[#This Row],[M (KN.mm)]]/(Table1123457[[#This Row],[b (mm)]]*Table1123457[[#This Row],[d (mm)]]*Table1123457[[#This Row],[L(mm)]])</f>
        <v>1.1099220016917548E-3</v>
      </c>
      <c r="Q48" s="111">
        <f>Table1123457[[#This Row],[M (KN.mm)]]/(Table1123457[[#This Row],[b (mm)]]*Table1123457[[#This Row],[h (mm)]]*Table1123457[[#This Row],[L(mm)]]*Table1123457[[#This Row],[fc (Mpa)]])</f>
        <v>2.6804016088052605E-5</v>
      </c>
      <c r="R48" s="111">
        <f>Table1123457[[#This Row],[M (KN.mm)]]/(Table1123457[[#This Row],[b (mm)]]*Table1123457[[#This Row],[h (mm)]]*Table1123457[[#This Row],[L(mm)]]/2)</f>
        <v>2.0103012066039453E-3</v>
      </c>
      <c r="S48" s="111">
        <f>Table1123457[[#This Row],[M (KN.mm)]]/(Table1123457[[#This Row],[a (mm)]]*Table1123457[[#This Row],[b (mm)]]*Table1123457[[#This Row],[h (mm)]]*Table1123457[[#This Row],[L(mm)]]/2)</f>
        <v>1.9329819294268702E-6</v>
      </c>
      <c r="T48" s="111">
        <f>G48/($AL$5*AH48*0.001*Table1123457[[#This Row],[pho (%)]])</f>
        <v>8.9131392536427704E-6</v>
      </c>
      <c r="U48" s="111">
        <f>Table1123457[[#This Row],[M (KN.mm)]]/(Table1123457[[#This Row],[b (mm)]]*Table1123457[[#This Row],[d (mm)]]*Table1123457[[#This Row],[pho (%)]])</f>
        <v>2.4824061973320966</v>
      </c>
      <c r="V48" s="111">
        <f>E48*224.8/(2*SQRT(Table1123457[[#This Row],[fc (Mpa)]]*145.037)*Table1123457[[#This Row],[b (mm)]]*Table1123457[[#This Row],[d (mm)]]*(1/25.4)^2)</f>
        <v>2.1827357551074518</v>
      </c>
      <c r="W48" s="111">
        <f>Table1123457[[#This Row],[M (KN.mm)]]/$G$48</f>
        <v>1</v>
      </c>
      <c r="X48" s="111">
        <f t="shared" si="4"/>
        <v>2.1827357551074518</v>
      </c>
      <c r="Y48" s="111">
        <v>1040</v>
      </c>
      <c r="Z48" s="111">
        <v>307</v>
      </c>
      <c r="AA48" s="111">
        <v>339</v>
      </c>
      <c r="AB48" s="111">
        <v>697</v>
      </c>
      <c r="AC48" s="7">
        <v>37.5</v>
      </c>
      <c r="AD48" s="111">
        <f>Table1123457[[#This Row],[pho (%)]]*Table1123457[[#This Row],[b (mm)]]*Table1123457[[#This Row],[h (mm)]]/100</f>
        <v>2197.4319</v>
      </c>
      <c r="AE48" s="160">
        <v>0.93</v>
      </c>
      <c r="AF48" s="160">
        <v>525</v>
      </c>
      <c r="AG48" s="111">
        <f>(1/3-0.21*(MIN(Table1123457[[#This Row],[b (mm)]],AA48)/MAX(Table1123457[[#This Row],[b (mm)]],AA48))*(MIN(Table1123457[[#This Row],[b (mm)]],AA48)^4/(12*MAX(Table1123457[[#This Row],[b (mm)]],AA48)^4)))*MAX(Table1123457[[#This Row],[b (mm)]],AA48)*MIN(Table1123457[[#This Row],[b (mm)]],AA48)^3</f>
        <v>9038359724.8259487</v>
      </c>
      <c r="AH48" s="111">
        <f>Table1123457[[#This Row],[b (mm)]]*AA48^3/12</f>
        <v>2262823220.25</v>
      </c>
      <c r="AI48" s="111">
        <v>2080</v>
      </c>
      <c r="AK48" s="139"/>
      <c r="AL48" s="139"/>
      <c r="AM48" s="139"/>
      <c r="AN48" s="139"/>
      <c r="AO48" s="139"/>
      <c r="AP48" s="139"/>
      <c r="AQ48" s="1"/>
      <c r="AR48" s="1"/>
    </row>
    <row r="49" spans="1:44" x14ac:dyDescent="0.25">
      <c r="A49" s="150" t="s">
        <v>149</v>
      </c>
      <c r="B49" s="150">
        <v>1</v>
      </c>
      <c r="C49" s="185">
        <v>48</v>
      </c>
      <c r="D49" s="185">
        <f>Table1123457[[#This Row],[a (mm)]]/Table1123457[[#This Row],[d (mm)]]</f>
        <v>3.3986928104575163</v>
      </c>
      <c r="E49" s="241">
        <v>200</v>
      </c>
      <c r="F49" s="137">
        <f>Table1123457[[#This Row],[d (mm)]]</f>
        <v>306</v>
      </c>
      <c r="G49" s="111">
        <f t="shared" si="3"/>
        <v>208000</v>
      </c>
      <c r="H49" s="111">
        <f t="shared" si="0"/>
        <v>3.5061763677044069E-6</v>
      </c>
      <c r="I49" s="111">
        <f>G49/(Table1123457[[#This Row],[b (mm)]]*Z49^2)</f>
        <v>3.1733826428174757E-3</v>
      </c>
      <c r="J49" s="111">
        <f t="shared" si="1"/>
        <v>0.58841659998251661</v>
      </c>
      <c r="K49" s="111">
        <f t="shared" si="2"/>
        <v>7.079006916435427E-7</v>
      </c>
      <c r="L49" s="111">
        <f>E49/(Table1123457[[#This Row],[b (mm)]]*Z49)</f>
        <v>9.3370681605975728E-4</v>
      </c>
      <c r="M49" s="111">
        <f>Table1123457[[#This Row],[M (KN.mm)]]/(Table1123457[[#This Row],[b (mm)]]*Table1123457[[#This Row],[d (mm)]])</f>
        <v>0.97105508870214752</v>
      </c>
      <c r="N49" s="111">
        <f>Table1123457[[#This Row],[M (KN.mm)]]/(Table1123457[[#This Row],[b (mm)]]*Table1123457[[#This Row],[h (mm)]])</f>
        <v>0.87912087912087911</v>
      </c>
      <c r="O49" s="111">
        <f>Table1123457[[#This Row],[M (KN.mm)]]/(Table1123457[[#This Row],[b (mm)]]*Table1123457[[#This Row],[h (mm)]]*Table1123457[[#This Row],[L(mm)]])</f>
        <v>4.2265426880811494E-4</v>
      </c>
      <c r="P49" s="111">
        <f>Table1123457[[#This Row],[M (KN.mm)]]/(Table1123457[[#This Row],[b (mm)]]*Table1123457[[#This Row],[d (mm)]]*Table1123457[[#This Row],[L(mm)]])</f>
        <v>4.6685340802987864E-4</v>
      </c>
      <c r="Q49" s="111">
        <f>Table1123457[[#This Row],[M (KN.mm)]]/(Table1123457[[#This Row],[b (mm)]]*Table1123457[[#This Row],[h (mm)]]*Table1123457[[#This Row],[L(mm)]]*Table1123457[[#This Row],[fc (Mpa)]])</f>
        <v>1.1181329862648544E-5</v>
      </c>
      <c r="R49" s="111">
        <f>Table1123457[[#This Row],[M (KN.mm)]]/(Table1123457[[#This Row],[b (mm)]]*Table1123457[[#This Row],[h (mm)]]*Table1123457[[#This Row],[L(mm)]]/2)</f>
        <v>8.4530853761622987E-4</v>
      </c>
      <c r="S49" s="111">
        <f>Table1123457[[#This Row],[M (KN.mm)]]/(Table1123457[[#This Row],[a (mm)]]*Table1123457[[#This Row],[b (mm)]]*Table1123457[[#This Row],[h (mm)]]*Table1123457[[#This Row],[L(mm)]]/2)</f>
        <v>8.1279667078483645E-7</v>
      </c>
      <c r="T49" s="111">
        <f>G49/($AL$5*AH49*0.001*Table1123457[[#This Row],[pho (%)]])</f>
        <v>3.7700821158111901E-6</v>
      </c>
      <c r="U49" s="111">
        <f>Table1123457[[#This Row],[M (KN.mm)]]/(Table1123457[[#This Row],[b (mm)]]*Table1123457[[#This Row],[d (mm)]]*Table1123457[[#This Row],[pho (%)]])</f>
        <v>1.0441452566689757</v>
      </c>
      <c r="V49" s="111">
        <f>E49*224.8/(2*SQRT(Table1123457[[#This Row],[fc (Mpa)]]*145.037)*Table1123457[[#This Row],[b (mm)]]*Table1123457[[#This Row],[d (mm)]]*(1/25.4)^2)</f>
        <v>0.91444790585510394</v>
      </c>
      <c r="W49" s="111">
        <f>Table1123457[[#This Row],[M (KN.mm)]]/$G$54</f>
        <v>0.39525691699604742</v>
      </c>
      <c r="X49" s="111">
        <f t="shared" si="4"/>
        <v>0.91444790585510394</v>
      </c>
      <c r="Y49" s="111">
        <v>1040</v>
      </c>
      <c r="Z49" s="111">
        <v>306</v>
      </c>
      <c r="AA49" s="111">
        <v>338</v>
      </c>
      <c r="AB49" s="111">
        <v>700</v>
      </c>
      <c r="AC49" s="7">
        <v>37.799999999999997</v>
      </c>
      <c r="AD49" s="111">
        <f>Table1123457[[#This Row],[pho (%)]]*Table1123457[[#This Row],[b (mm)]]*Table1123457[[#This Row],[h (mm)]]/100</f>
        <v>2200.38</v>
      </c>
      <c r="AE49" s="160">
        <v>0.93</v>
      </c>
      <c r="AF49" s="160">
        <v>525</v>
      </c>
      <c r="AG49" s="111">
        <f>(1/3-0.21*(MIN(Table1123457[[#This Row],[b (mm)]],AA49)/MAX(Table1123457[[#This Row],[b (mm)]],AA49))*(MIN(Table1123457[[#This Row],[b (mm)]],AA49)^4/(12*MAX(Table1123457[[#This Row],[b (mm)]],AA49)^4)))*MAX(Table1123457[[#This Row],[b (mm)]],AA49)*MIN(Table1123457[[#This Row],[b (mm)]],AA49)^3</f>
        <v>8997627529.9355507</v>
      </c>
      <c r="AH49" s="111">
        <f>Table1123457[[#This Row],[b (mm)]]*AA49^3/12</f>
        <v>2252510866.6666665</v>
      </c>
      <c r="AI49" s="111">
        <v>2080</v>
      </c>
      <c r="AK49" s="139"/>
      <c r="AL49" s="139"/>
      <c r="AM49" s="139"/>
      <c r="AN49" s="139"/>
      <c r="AO49" s="139"/>
      <c r="AP49" s="139"/>
      <c r="AQ49" s="1"/>
      <c r="AR49" s="1"/>
    </row>
    <row r="50" spans="1:44" x14ac:dyDescent="0.25">
      <c r="A50" s="150" t="s">
        <v>149</v>
      </c>
      <c r="B50" s="150">
        <v>2</v>
      </c>
      <c r="C50" s="185">
        <v>49</v>
      </c>
      <c r="D50" s="185">
        <f>Table1123457[[#This Row],[a (mm)]]/Table1123457[[#This Row],[d (mm)]]</f>
        <v>3.3986928104575163</v>
      </c>
      <c r="E50" s="241">
        <v>351</v>
      </c>
      <c r="F50" s="137">
        <f>Table1123457[[#This Row],[d (mm)]]</f>
        <v>306</v>
      </c>
      <c r="G50" s="111">
        <f t="shared" si="3"/>
        <v>365040</v>
      </c>
      <c r="H50" s="111">
        <f t="shared" si="0"/>
        <v>6.1533395253212348E-6</v>
      </c>
      <c r="I50" s="111">
        <f>G50/(Table1123457[[#This Row],[b (mm)]]*Z50^2)</f>
        <v>5.56928653814467E-3</v>
      </c>
      <c r="J50" s="111">
        <f t="shared" si="1"/>
        <v>1.0326711329693168</v>
      </c>
      <c r="K50" s="111">
        <f t="shared" si="2"/>
        <v>1.2423657138344174E-6</v>
      </c>
      <c r="L50" s="111">
        <f>E50/(Table1123457[[#This Row],[b (mm)]]*Z50)</f>
        <v>1.6386554621848739E-3</v>
      </c>
      <c r="M50" s="111">
        <f>Table1123457[[#This Row],[M (KN.mm)]]/(Table1123457[[#This Row],[b (mm)]]*Table1123457[[#This Row],[d (mm)]])</f>
        <v>1.7042016806722688</v>
      </c>
      <c r="N50" s="111">
        <f>Table1123457[[#This Row],[M (KN.mm)]]/(Table1123457[[#This Row],[b (mm)]]*Table1123457[[#This Row],[h (mm)]])</f>
        <v>1.5428571428571429</v>
      </c>
      <c r="O50" s="111">
        <f>Table1123457[[#This Row],[M (KN.mm)]]/(Table1123457[[#This Row],[b (mm)]]*Table1123457[[#This Row],[h (mm)]]*Table1123457[[#This Row],[L(mm)]])</f>
        <v>7.4175824175824181E-4</v>
      </c>
      <c r="P50" s="111">
        <f>Table1123457[[#This Row],[M (KN.mm)]]/(Table1123457[[#This Row],[b (mm)]]*Table1123457[[#This Row],[d (mm)]]*Table1123457[[#This Row],[L(mm)]])</f>
        <v>8.1932773109243693E-4</v>
      </c>
      <c r="Q50" s="111">
        <f>Table1123457[[#This Row],[M (KN.mm)]]/(Table1123457[[#This Row],[b (mm)]]*Table1123457[[#This Row],[h (mm)]]*Table1123457[[#This Row],[L(mm)]]*Table1123457[[#This Row],[fc (Mpa)]])</f>
        <v>1.9623233908948195E-5</v>
      </c>
      <c r="R50" s="111">
        <f>Table1123457[[#This Row],[M (KN.mm)]]/(Table1123457[[#This Row],[b (mm)]]*Table1123457[[#This Row],[h (mm)]]*Table1123457[[#This Row],[L(mm)]]/2)</f>
        <v>1.4835164835164836E-3</v>
      </c>
      <c r="S50" s="111">
        <f>Table1123457[[#This Row],[M (KN.mm)]]/(Table1123457[[#This Row],[a (mm)]]*Table1123457[[#This Row],[b (mm)]]*Table1123457[[#This Row],[h (mm)]]*Table1123457[[#This Row],[L(mm)]]/2)</f>
        <v>1.4264581572273881E-6</v>
      </c>
      <c r="T50" s="111">
        <f>G50/($AL$5*AH50*0.001*Table1123457[[#This Row],[pho (%)]])</f>
        <v>6.6164941132486383E-6</v>
      </c>
      <c r="U50" s="111">
        <f>Table1123457[[#This Row],[M (KN.mm)]]/(Table1123457[[#This Row],[b (mm)]]*Table1123457[[#This Row],[d (mm)]]*Table1123457[[#This Row],[pho (%)]])</f>
        <v>1.8324749254540527</v>
      </c>
      <c r="V50" s="111">
        <f>E50*224.8/(2*SQRT(Table1123457[[#This Row],[fc (Mpa)]]*145.037)*Table1123457[[#This Row],[b (mm)]]*Table1123457[[#This Row],[d (mm)]]*(1/25.4)^2)</f>
        <v>1.6048560747757075</v>
      </c>
      <c r="W50" s="111">
        <f>Table1123457[[#This Row],[M (KN.mm)]]/$G$54</f>
        <v>0.69367588932806323</v>
      </c>
      <c r="X50" s="111">
        <f t="shared" si="4"/>
        <v>1.6048560747757075</v>
      </c>
      <c r="Y50" s="111">
        <v>1040</v>
      </c>
      <c r="Z50" s="111">
        <v>306</v>
      </c>
      <c r="AA50" s="111">
        <v>338</v>
      </c>
      <c r="AB50" s="111">
        <v>700</v>
      </c>
      <c r="AC50" s="7">
        <v>37.799999999999997</v>
      </c>
      <c r="AD50" s="111">
        <f>Table1123457[[#This Row],[pho (%)]]*Table1123457[[#This Row],[b (mm)]]*Table1123457[[#This Row],[h (mm)]]/100</f>
        <v>2200.38</v>
      </c>
      <c r="AE50" s="160">
        <v>0.93</v>
      </c>
      <c r="AF50" s="160">
        <v>525</v>
      </c>
      <c r="AG50" s="111">
        <f>(1/3-0.21*(MIN(Table1123457[[#This Row],[b (mm)]],AA50)/MAX(Table1123457[[#This Row],[b (mm)]],AA50))*(MIN(Table1123457[[#This Row],[b (mm)]],AA50)^4/(12*MAX(Table1123457[[#This Row],[b (mm)]],AA50)^4)))*MAX(Table1123457[[#This Row],[b (mm)]],AA50)*MIN(Table1123457[[#This Row],[b (mm)]],AA50)^3</f>
        <v>8997627529.9355507</v>
      </c>
      <c r="AH50" s="111">
        <f>Table1123457[[#This Row],[b (mm)]]*AA50^3/12</f>
        <v>2252510866.6666665</v>
      </c>
      <c r="AI50" s="111">
        <v>2080</v>
      </c>
      <c r="AK50" s="139"/>
      <c r="AL50" s="139"/>
      <c r="AM50" s="139"/>
      <c r="AN50" s="139"/>
      <c r="AO50" s="139"/>
      <c r="AP50" s="139"/>
      <c r="AQ50" s="1"/>
      <c r="AR50" s="1"/>
    </row>
    <row r="51" spans="1:44" x14ac:dyDescent="0.25">
      <c r="A51" s="150" t="s">
        <v>149</v>
      </c>
      <c r="B51" s="150">
        <v>3</v>
      </c>
      <c r="C51" s="185">
        <v>50</v>
      </c>
      <c r="D51" s="185">
        <f>Table1123457[[#This Row],[a (mm)]]/Table1123457[[#This Row],[d (mm)]]</f>
        <v>3.3986928104575163</v>
      </c>
      <c r="E51" s="241">
        <v>399</v>
      </c>
      <c r="F51" s="137">
        <f>Table1123457[[#This Row],[d (mm)]]</f>
        <v>306</v>
      </c>
      <c r="G51" s="111">
        <f t="shared" si="3"/>
        <v>414960</v>
      </c>
      <c r="H51" s="111">
        <f t="shared" si="0"/>
        <v>6.9948218535702919E-6</v>
      </c>
      <c r="I51" s="111">
        <f>G51/(Table1123457[[#This Row],[b (mm)]]*Z51^2)</f>
        <v>6.3308983724208638E-3</v>
      </c>
      <c r="J51" s="111">
        <f t="shared" si="1"/>
        <v>1.1738911169651207</v>
      </c>
      <c r="K51" s="111">
        <f t="shared" si="2"/>
        <v>1.4122618798288676E-6</v>
      </c>
      <c r="L51" s="111">
        <f>E51/(Table1123457[[#This Row],[b (mm)]]*Z51)</f>
        <v>1.8627450980392157E-3</v>
      </c>
      <c r="M51" s="111">
        <f>Table1123457[[#This Row],[M (KN.mm)]]/(Table1123457[[#This Row],[b (mm)]]*Table1123457[[#This Row],[d (mm)]])</f>
        <v>1.9372549019607843</v>
      </c>
      <c r="N51" s="111">
        <f>Table1123457[[#This Row],[M (KN.mm)]]/(Table1123457[[#This Row],[b (mm)]]*Table1123457[[#This Row],[h (mm)]])</f>
        <v>1.7538461538461538</v>
      </c>
      <c r="O51" s="111">
        <f>Table1123457[[#This Row],[M (KN.mm)]]/(Table1123457[[#This Row],[b (mm)]]*Table1123457[[#This Row],[h (mm)]]*Table1123457[[#This Row],[L(mm)]])</f>
        <v>8.4319526627218934E-4</v>
      </c>
      <c r="P51" s="111">
        <f>Table1123457[[#This Row],[M (KN.mm)]]/(Table1123457[[#This Row],[b (mm)]]*Table1123457[[#This Row],[d (mm)]]*Table1123457[[#This Row],[L(mm)]])</f>
        <v>9.3137254901960785E-4</v>
      </c>
      <c r="Q51" s="111">
        <f>Table1123457[[#This Row],[M (KN.mm)]]/(Table1123457[[#This Row],[b (mm)]]*Table1123457[[#This Row],[h (mm)]]*Table1123457[[#This Row],[L(mm)]]*Table1123457[[#This Row],[fc (Mpa)]])</f>
        <v>2.2306753075983845E-5</v>
      </c>
      <c r="R51" s="111">
        <f>Table1123457[[#This Row],[M (KN.mm)]]/(Table1123457[[#This Row],[b (mm)]]*Table1123457[[#This Row],[h (mm)]]*Table1123457[[#This Row],[L(mm)]]/2)</f>
        <v>1.6863905325443787E-3</v>
      </c>
      <c r="S51" s="111">
        <f>Table1123457[[#This Row],[M (KN.mm)]]/(Table1123457[[#This Row],[a (mm)]]*Table1123457[[#This Row],[b (mm)]]*Table1123457[[#This Row],[h (mm)]]*Table1123457[[#This Row],[L(mm)]]/2)</f>
        <v>1.6215293582157487E-6</v>
      </c>
      <c r="T51" s="111">
        <f>G51/($AL$5*AH51*0.001*Table1123457[[#This Row],[pho (%)]])</f>
        <v>7.5213138210433244E-6</v>
      </c>
      <c r="U51" s="111">
        <f>Table1123457[[#This Row],[M (KN.mm)]]/(Table1123457[[#This Row],[b (mm)]]*Table1123457[[#This Row],[d (mm)]]*Table1123457[[#This Row],[pho (%)]])</f>
        <v>2.0830697870546069</v>
      </c>
      <c r="V51" s="111">
        <f>E51*224.8/(2*SQRT(Table1123457[[#This Row],[fc (Mpa)]]*145.037)*Table1123457[[#This Row],[b (mm)]]*Table1123457[[#This Row],[d (mm)]]*(1/25.4)^2)</f>
        <v>1.8243235721809326</v>
      </c>
      <c r="W51" s="111">
        <f>Table1123457[[#This Row],[M (KN.mm)]]/$G$54</f>
        <v>0.78853754940711462</v>
      </c>
      <c r="X51" s="111">
        <f t="shared" si="4"/>
        <v>1.8243235721809326</v>
      </c>
      <c r="Y51" s="111">
        <v>1040</v>
      </c>
      <c r="Z51" s="111">
        <v>306</v>
      </c>
      <c r="AA51" s="111">
        <v>338</v>
      </c>
      <c r="AB51" s="111">
        <v>700</v>
      </c>
      <c r="AC51" s="7">
        <v>37.799999999999997</v>
      </c>
      <c r="AD51" s="111">
        <f>Table1123457[[#This Row],[pho (%)]]*Table1123457[[#This Row],[b (mm)]]*Table1123457[[#This Row],[h (mm)]]/100</f>
        <v>2200.38</v>
      </c>
      <c r="AE51" s="160">
        <v>0.93</v>
      </c>
      <c r="AF51" s="160">
        <v>525</v>
      </c>
      <c r="AG51" s="111">
        <f>(1/3-0.21*(MIN(Table1123457[[#This Row],[b (mm)]],AA51)/MAX(Table1123457[[#This Row],[b (mm)]],AA51))*(MIN(Table1123457[[#This Row],[b (mm)]],AA51)^4/(12*MAX(Table1123457[[#This Row],[b (mm)]],AA51)^4)))*MAX(Table1123457[[#This Row],[b (mm)]],AA51)*MIN(Table1123457[[#This Row],[b (mm)]],AA51)^3</f>
        <v>8997627529.9355507</v>
      </c>
      <c r="AH51" s="111">
        <f>Table1123457[[#This Row],[b (mm)]]*AA51^3/12</f>
        <v>2252510866.6666665</v>
      </c>
      <c r="AI51" s="111">
        <v>2080</v>
      </c>
      <c r="AK51" s="139"/>
      <c r="AL51" s="139"/>
      <c r="AM51" s="139"/>
      <c r="AN51" s="139"/>
      <c r="AO51" s="139"/>
      <c r="AP51" s="139"/>
      <c r="AQ51" s="1"/>
      <c r="AR51" s="1"/>
    </row>
    <row r="52" spans="1:44" x14ac:dyDescent="0.25">
      <c r="A52" s="150" t="s">
        <v>149</v>
      </c>
      <c r="B52" s="150">
        <v>4</v>
      </c>
      <c r="C52" s="185">
        <v>51</v>
      </c>
      <c r="D52" s="185">
        <f>Table1123457[[#This Row],[a (mm)]]/Table1123457[[#This Row],[d (mm)]]</f>
        <v>3.3986928104575163</v>
      </c>
      <c r="E52" s="241">
        <v>450</v>
      </c>
      <c r="F52" s="137">
        <f>Table1123457[[#This Row],[d (mm)]]</f>
        <v>306</v>
      </c>
      <c r="G52" s="111">
        <f t="shared" si="3"/>
        <v>468000</v>
      </c>
      <c r="H52" s="111">
        <f t="shared" si="0"/>
        <v>7.8888968273349156E-6</v>
      </c>
      <c r="I52" s="111">
        <f>G52/(Table1123457[[#This Row],[b (mm)]]*Z52^2)</f>
        <v>7.1401109463393201E-3</v>
      </c>
      <c r="J52" s="111">
        <f t="shared" si="1"/>
        <v>1.3239373499606624</v>
      </c>
      <c r="K52" s="111">
        <f t="shared" si="2"/>
        <v>1.5927765561979712E-6</v>
      </c>
      <c r="L52" s="111">
        <f>E52/(Table1123457[[#This Row],[b (mm)]]*Z52)</f>
        <v>2.1008403361344537E-3</v>
      </c>
      <c r="M52" s="111">
        <f>Table1123457[[#This Row],[M (KN.mm)]]/(Table1123457[[#This Row],[b (mm)]]*Table1123457[[#This Row],[d (mm)]])</f>
        <v>2.1848739495798317</v>
      </c>
      <c r="N52" s="111">
        <f>Table1123457[[#This Row],[M (KN.mm)]]/(Table1123457[[#This Row],[b (mm)]]*Table1123457[[#This Row],[h (mm)]])</f>
        <v>1.9780219780219781</v>
      </c>
      <c r="O52" s="111">
        <f>Table1123457[[#This Row],[M (KN.mm)]]/(Table1123457[[#This Row],[b (mm)]]*Table1123457[[#This Row],[h (mm)]]*Table1123457[[#This Row],[L(mm)]])</f>
        <v>9.5097210481825869E-4</v>
      </c>
      <c r="P52" s="111">
        <f>Table1123457[[#This Row],[M (KN.mm)]]/(Table1123457[[#This Row],[b (mm)]]*Table1123457[[#This Row],[d (mm)]]*Table1123457[[#This Row],[L(mm)]])</f>
        <v>1.0504201680672268E-3</v>
      </c>
      <c r="Q52" s="111">
        <f>Table1123457[[#This Row],[M (KN.mm)]]/(Table1123457[[#This Row],[b (mm)]]*Table1123457[[#This Row],[h (mm)]]*Table1123457[[#This Row],[L(mm)]]*Table1123457[[#This Row],[fc (Mpa)]])</f>
        <v>2.5157992190959224E-5</v>
      </c>
      <c r="R52" s="111">
        <f>Table1123457[[#This Row],[M (KN.mm)]]/(Table1123457[[#This Row],[b (mm)]]*Table1123457[[#This Row],[h (mm)]]*Table1123457[[#This Row],[L(mm)]]/2)</f>
        <v>1.9019442096365174E-3</v>
      </c>
      <c r="S52" s="111">
        <f>Table1123457[[#This Row],[M (KN.mm)]]/(Table1123457[[#This Row],[a (mm)]]*Table1123457[[#This Row],[b (mm)]]*Table1123457[[#This Row],[h (mm)]]*Table1123457[[#This Row],[L(mm)]]/2)</f>
        <v>1.828792509265882E-6</v>
      </c>
      <c r="T52" s="111">
        <f>G52/($AL$5*AH52*0.001*Table1123457[[#This Row],[pho (%)]])</f>
        <v>8.4826847605751768E-6</v>
      </c>
      <c r="U52" s="111">
        <f>Table1123457[[#This Row],[M (KN.mm)]]/(Table1123457[[#This Row],[b (mm)]]*Table1123457[[#This Row],[d (mm)]]*Table1123457[[#This Row],[pho (%)]])</f>
        <v>2.3493268275051955</v>
      </c>
      <c r="V52" s="111">
        <f>E52*224.8/(2*SQRT(Table1123457[[#This Row],[fc (Mpa)]]*145.037)*Table1123457[[#This Row],[b (mm)]]*Table1123457[[#This Row],[d (mm)]]*(1/25.4)^2)</f>
        <v>2.0575077881739841</v>
      </c>
      <c r="W52" s="111">
        <f>Table1123457[[#This Row],[M (KN.mm)]]/$G$54</f>
        <v>0.88932806324110669</v>
      </c>
      <c r="X52" s="111">
        <f t="shared" si="4"/>
        <v>2.0575077881739841</v>
      </c>
      <c r="Y52" s="111">
        <v>1040</v>
      </c>
      <c r="Z52" s="111">
        <v>306</v>
      </c>
      <c r="AA52" s="111">
        <v>338</v>
      </c>
      <c r="AB52" s="111">
        <v>700</v>
      </c>
      <c r="AC52" s="7">
        <v>37.799999999999997</v>
      </c>
      <c r="AD52" s="111">
        <f>Table1123457[[#This Row],[pho (%)]]*Table1123457[[#This Row],[b (mm)]]*Table1123457[[#This Row],[h (mm)]]/100</f>
        <v>2200.38</v>
      </c>
      <c r="AE52" s="160">
        <v>0.93</v>
      </c>
      <c r="AF52" s="160">
        <v>525</v>
      </c>
      <c r="AG52" s="111">
        <f>(1/3-0.21*(MIN(Table1123457[[#This Row],[b (mm)]],AA52)/MAX(Table1123457[[#This Row],[b (mm)]],AA52))*(MIN(Table1123457[[#This Row],[b (mm)]],AA52)^4/(12*MAX(Table1123457[[#This Row],[b (mm)]],AA52)^4)))*MAX(Table1123457[[#This Row],[b (mm)]],AA52)*MIN(Table1123457[[#This Row],[b (mm)]],AA52)^3</f>
        <v>8997627529.9355507</v>
      </c>
      <c r="AH52" s="111">
        <f>Table1123457[[#This Row],[b (mm)]]*AA52^3/12</f>
        <v>2252510866.6666665</v>
      </c>
      <c r="AI52" s="111">
        <v>2080</v>
      </c>
      <c r="AK52" s="139"/>
      <c r="AL52" s="139"/>
      <c r="AM52" s="139"/>
      <c r="AN52" s="139"/>
      <c r="AO52" s="139"/>
      <c r="AP52" s="139"/>
      <c r="AQ52" s="1"/>
      <c r="AR52" s="1"/>
    </row>
    <row r="53" spans="1:44" x14ac:dyDescent="0.25">
      <c r="A53" s="150" t="s">
        <v>149</v>
      </c>
      <c r="B53" s="150">
        <v>5</v>
      </c>
      <c r="C53" s="185">
        <v>52</v>
      </c>
      <c r="D53" s="185">
        <f>Table1123457[[#This Row],[a (mm)]]/Table1123457[[#This Row],[d (mm)]]</f>
        <v>3.3986928104575163</v>
      </c>
      <c r="E53" s="241">
        <v>500</v>
      </c>
      <c r="F53" s="137">
        <f>Table1123457[[#This Row],[d (mm)]]</f>
        <v>306</v>
      </c>
      <c r="G53" s="111">
        <f t="shared" si="3"/>
        <v>520000</v>
      </c>
      <c r="H53" s="111">
        <f t="shared" si="0"/>
        <v>8.7654409192610173E-6</v>
      </c>
      <c r="I53" s="111">
        <f>G53/(Table1123457[[#This Row],[b (mm)]]*Z53^2)</f>
        <v>7.9334566070436881E-3</v>
      </c>
      <c r="J53" s="111">
        <f t="shared" si="1"/>
        <v>1.4710414999562915</v>
      </c>
      <c r="K53" s="111">
        <f t="shared" si="2"/>
        <v>1.7697517291088568E-6</v>
      </c>
      <c r="L53" s="111">
        <f>E53/(Table1123457[[#This Row],[b (mm)]]*Z53)</f>
        <v>2.334267040149393E-3</v>
      </c>
      <c r="M53" s="111">
        <f>Table1123457[[#This Row],[M (KN.mm)]]/(Table1123457[[#This Row],[b (mm)]]*Table1123457[[#This Row],[d (mm)]])</f>
        <v>2.4276377217553686</v>
      </c>
      <c r="N53" s="111">
        <f>Table1123457[[#This Row],[M (KN.mm)]]/(Table1123457[[#This Row],[b (mm)]]*Table1123457[[#This Row],[h (mm)]])</f>
        <v>2.197802197802198</v>
      </c>
      <c r="O53" s="111">
        <f>Table1123457[[#This Row],[M (KN.mm)]]/(Table1123457[[#This Row],[b (mm)]]*Table1123457[[#This Row],[h (mm)]]*Table1123457[[#This Row],[L(mm)]])</f>
        <v>1.0566356720202875E-3</v>
      </c>
      <c r="P53" s="111">
        <f>Table1123457[[#This Row],[M (KN.mm)]]/(Table1123457[[#This Row],[b (mm)]]*Table1123457[[#This Row],[d (mm)]]*Table1123457[[#This Row],[L(mm)]])</f>
        <v>1.1671335200746965E-3</v>
      </c>
      <c r="Q53" s="111">
        <f>Table1123457[[#This Row],[M (KN.mm)]]/(Table1123457[[#This Row],[b (mm)]]*Table1123457[[#This Row],[h (mm)]]*Table1123457[[#This Row],[L(mm)]]*Table1123457[[#This Row],[fc (Mpa)]])</f>
        <v>2.7953324656621362E-5</v>
      </c>
      <c r="R53" s="111">
        <f>Table1123457[[#This Row],[M (KN.mm)]]/(Table1123457[[#This Row],[b (mm)]]*Table1123457[[#This Row],[h (mm)]]*Table1123457[[#This Row],[L(mm)]]/2)</f>
        <v>2.113271344040575E-3</v>
      </c>
      <c r="S53" s="111">
        <f>Table1123457[[#This Row],[M (KN.mm)]]/(Table1123457[[#This Row],[a (mm)]]*Table1123457[[#This Row],[b (mm)]]*Table1123457[[#This Row],[h (mm)]]*Table1123457[[#This Row],[L(mm)]]/2)</f>
        <v>2.031991676962091E-6</v>
      </c>
      <c r="T53" s="111">
        <f>G53/($AL$5*AH53*0.001*Table1123457[[#This Row],[pho (%)]])</f>
        <v>9.4252052895279751E-6</v>
      </c>
      <c r="U53" s="111">
        <f>Table1123457[[#This Row],[M (KN.mm)]]/(Table1123457[[#This Row],[b (mm)]]*Table1123457[[#This Row],[d (mm)]]*Table1123457[[#This Row],[pho (%)]])</f>
        <v>2.6103631416724395</v>
      </c>
      <c r="V53" s="111">
        <f>E53*224.8/(2*SQRT(Table1123457[[#This Row],[fc (Mpa)]]*145.037)*Table1123457[[#This Row],[b (mm)]]*Table1123457[[#This Row],[d (mm)]]*(1/25.4)^2)</f>
        <v>2.28611976463776</v>
      </c>
      <c r="W53" s="111">
        <f>Table1123457[[#This Row],[M (KN.mm)]]/$G$54</f>
        <v>0.98814229249011853</v>
      </c>
      <c r="X53" s="111">
        <f t="shared" si="4"/>
        <v>2.28611976463776</v>
      </c>
      <c r="Y53" s="111">
        <v>1040</v>
      </c>
      <c r="Z53" s="111">
        <v>306</v>
      </c>
      <c r="AA53" s="111">
        <v>338</v>
      </c>
      <c r="AB53" s="111">
        <v>700</v>
      </c>
      <c r="AC53" s="7">
        <v>37.799999999999997</v>
      </c>
      <c r="AD53" s="111">
        <f>Table1123457[[#This Row],[pho (%)]]*Table1123457[[#This Row],[b (mm)]]*Table1123457[[#This Row],[h (mm)]]/100</f>
        <v>2200.38</v>
      </c>
      <c r="AE53" s="160">
        <v>0.93</v>
      </c>
      <c r="AF53" s="160">
        <v>525</v>
      </c>
      <c r="AG53" s="111">
        <f>(1/3-0.21*(MIN(Table1123457[[#This Row],[b (mm)]],AA53)/MAX(Table1123457[[#This Row],[b (mm)]],AA53))*(MIN(Table1123457[[#This Row],[b (mm)]],AA53)^4/(12*MAX(Table1123457[[#This Row],[b (mm)]],AA53)^4)))*MAX(Table1123457[[#This Row],[b (mm)]],AA53)*MIN(Table1123457[[#This Row],[b (mm)]],AA53)^3</f>
        <v>8997627529.9355507</v>
      </c>
      <c r="AH53" s="111">
        <f>Table1123457[[#This Row],[b (mm)]]*AA53^3/12</f>
        <v>2252510866.6666665</v>
      </c>
      <c r="AI53" s="111">
        <v>2080</v>
      </c>
      <c r="AK53" s="139"/>
      <c r="AL53" s="139"/>
      <c r="AM53" s="139"/>
      <c r="AN53" s="139"/>
      <c r="AO53" s="139"/>
      <c r="AP53" s="139"/>
      <c r="AQ53" s="1"/>
      <c r="AR53" s="1"/>
    </row>
    <row r="54" spans="1:44" x14ac:dyDescent="0.25">
      <c r="A54" s="150" t="s">
        <v>149</v>
      </c>
      <c r="B54" s="150" t="s">
        <v>141</v>
      </c>
      <c r="C54" s="185">
        <v>53</v>
      </c>
      <c r="D54" s="185">
        <f>Table1123457[[#This Row],[a (mm)]]/Table1123457[[#This Row],[d (mm)]]</f>
        <v>3.3986928104575163</v>
      </c>
      <c r="E54" s="241">
        <v>506</v>
      </c>
      <c r="F54" s="137">
        <f>Table1123457[[#This Row],[d (mm)]]</f>
        <v>306</v>
      </c>
      <c r="G54" s="111">
        <f t="shared" si="3"/>
        <v>526240</v>
      </c>
      <c r="H54" s="135">
        <f t="shared" si="0"/>
        <v>8.8706262102921504E-6</v>
      </c>
      <c r="I54" s="135">
        <f>G54/(Table1123457[[#This Row],[b (mm)]]*Z54^2)</f>
        <v>8.028658086328213E-3</v>
      </c>
      <c r="J54" s="135">
        <f t="shared" si="1"/>
        <v>1.4886939979557672</v>
      </c>
      <c r="K54" s="111">
        <f t="shared" si="2"/>
        <v>1.790988749858163E-6</v>
      </c>
      <c r="L54" s="111">
        <f>E54/(Table1123457[[#This Row],[b (mm)]]*Z54)</f>
        <v>2.3622782446311857E-3</v>
      </c>
      <c r="M54" s="111">
        <f>Table1123457[[#This Row],[M (KN.mm)]]/(Table1123457[[#This Row],[b (mm)]]*Table1123457[[#This Row],[d (mm)]])</f>
        <v>2.4567693744164334</v>
      </c>
      <c r="N54" s="111">
        <f>Table1123457[[#This Row],[M (KN.mm)]]/(Table1123457[[#This Row],[b (mm)]]*Table1123457[[#This Row],[h (mm)]])</f>
        <v>2.2241758241758243</v>
      </c>
      <c r="O54" s="111">
        <f>Table1123457[[#This Row],[M (KN.mm)]]/(Table1123457[[#This Row],[b (mm)]]*Table1123457[[#This Row],[h (mm)]]*Table1123457[[#This Row],[L(mm)]])</f>
        <v>1.0693153000845309E-3</v>
      </c>
      <c r="P54" s="111">
        <f>Table1123457[[#This Row],[M (KN.mm)]]/(Table1123457[[#This Row],[b (mm)]]*Table1123457[[#This Row],[d (mm)]]*Table1123457[[#This Row],[L(mm)]])</f>
        <v>1.1811391223155929E-3</v>
      </c>
      <c r="Q54" s="111">
        <f>Table1123457[[#This Row],[M (KN.mm)]]/(Table1123457[[#This Row],[b (mm)]]*Table1123457[[#This Row],[h (mm)]]*Table1123457[[#This Row],[L(mm)]]*Table1123457[[#This Row],[fc (Mpa)]])</f>
        <v>2.8288764552500815E-5</v>
      </c>
      <c r="R54" s="111">
        <f>Table1123457[[#This Row],[M (KN.mm)]]/(Table1123457[[#This Row],[b (mm)]]*Table1123457[[#This Row],[h (mm)]]*Table1123457[[#This Row],[L(mm)]]/2)</f>
        <v>2.1386306001690619E-3</v>
      </c>
      <c r="S54" s="111">
        <f>Table1123457[[#This Row],[M (KN.mm)]]/(Table1123457[[#This Row],[a (mm)]]*Table1123457[[#This Row],[b (mm)]]*Table1123457[[#This Row],[h (mm)]]*Table1123457[[#This Row],[L(mm)]]/2)</f>
        <v>2.0563755770856365E-6</v>
      </c>
      <c r="T54" s="111">
        <f>G54/($AL$5*AH54*0.001*Table1123457[[#This Row],[pho (%)]])</f>
        <v>9.538307753002311E-6</v>
      </c>
      <c r="U54" s="111">
        <f>Table1123457[[#This Row],[M (KN.mm)]]/(Table1123457[[#This Row],[b (mm)]]*Table1123457[[#This Row],[d (mm)]]*Table1123457[[#This Row],[pho (%)]])</f>
        <v>2.6416874993725088</v>
      </c>
      <c r="V54" s="111">
        <f>E54*224.8/(2*SQRT(Table1123457[[#This Row],[fc (Mpa)]]*145.037)*Table1123457[[#This Row],[b (mm)]]*Table1123457[[#This Row],[d (mm)]]*(1/25.4)^2)</f>
        <v>2.3135532018134128</v>
      </c>
      <c r="W54" s="111">
        <f>Table1123457[[#This Row],[M (KN.mm)]]/$G$54</f>
        <v>1</v>
      </c>
      <c r="X54" s="111">
        <f t="shared" si="4"/>
        <v>2.3135532018134128</v>
      </c>
      <c r="Y54" s="111">
        <v>1040</v>
      </c>
      <c r="Z54" s="111">
        <v>306</v>
      </c>
      <c r="AA54" s="111">
        <v>338</v>
      </c>
      <c r="AB54" s="111">
        <v>700</v>
      </c>
      <c r="AC54" s="7">
        <v>37.799999999999997</v>
      </c>
      <c r="AD54" s="111">
        <f>Table1123457[[#This Row],[pho (%)]]*Table1123457[[#This Row],[b (mm)]]*Table1123457[[#This Row],[h (mm)]]/100</f>
        <v>2200.38</v>
      </c>
      <c r="AE54" s="160">
        <v>0.93</v>
      </c>
      <c r="AF54" s="160">
        <v>525</v>
      </c>
      <c r="AG54" s="111">
        <f>(1/3-0.21*(MIN(Table1123457[[#This Row],[b (mm)]],AA54)/MAX(Table1123457[[#This Row],[b (mm)]],AA54))*(MIN(Table1123457[[#This Row],[b (mm)]],AA54)^4/(12*MAX(Table1123457[[#This Row],[b (mm)]],AA54)^4)))*MAX(Table1123457[[#This Row],[b (mm)]],AA54)*MIN(Table1123457[[#This Row],[b (mm)]],AA54)^3</f>
        <v>8997627529.9355507</v>
      </c>
      <c r="AH54" s="111">
        <f>Table1123457[[#This Row],[b (mm)]]*AA54^3/12</f>
        <v>2252510866.6666665</v>
      </c>
      <c r="AI54" s="111">
        <v>2080</v>
      </c>
      <c r="AK54" s="126"/>
      <c r="AL54" s="139"/>
      <c r="AM54" s="139"/>
      <c r="AN54" s="105"/>
      <c r="AO54" s="105"/>
      <c r="AP54" s="105"/>
    </row>
    <row r="55" spans="1:44" x14ac:dyDescent="0.25">
      <c r="A55" s="242" t="s">
        <v>148</v>
      </c>
      <c r="B55" s="242">
        <v>1</v>
      </c>
      <c r="C55" s="185">
        <v>54</v>
      </c>
      <c r="D55" s="185">
        <f>Table1123457[[#This Row],[a (mm)]]/Table1123457[[#This Row],[d (mm)]]</f>
        <v>3.3986928104575163</v>
      </c>
      <c r="E55" s="228">
        <v>200</v>
      </c>
      <c r="F55" s="137">
        <f>Table1123457[[#This Row],[d (mm)]]</f>
        <v>306</v>
      </c>
      <c r="G55" s="111">
        <f t="shared" si="3"/>
        <v>208000</v>
      </c>
      <c r="H55" s="135">
        <f t="shared" si="0"/>
        <v>3.4457050816184768E-6</v>
      </c>
      <c r="I55" s="135">
        <f>G55/(Table1123457[[#This Row],[b (mm)]]*Z55^2)</f>
        <v>3.1464133852297915E-3</v>
      </c>
      <c r="J55" s="135">
        <f t="shared" si="1"/>
        <v>0.58169490150109648</v>
      </c>
      <c r="K55" s="111">
        <f t="shared" si="2"/>
        <v>6.9566505961426507E-7</v>
      </c>
      <c r="L55" s="111">
        <f>E55/(Table1123457[[#This Row],[b (mm)]]*Z55)</f>
        <v>9.2577163065415025E-4</v>
      </c>
      <c r="M55" s="111">
        <f>Table1123457[[#This Row],[M (KN.mm)]]/(Table1123457[[#This Row],[b (mm)]]*Table1123457[[#This Row],[d (mm)]])</f>
        <v>0.96280249588031619</v>
      </c>
      <c r="N55" s="111">
        <f>Table1123457[[#This Row],[M (KN.mm)]]/(Table1123457[[#This Row],[b (mm)]]*Table1123457[[#This Row],[h (mm)]])</f>
        <v>0.86907835911320586</v>
      </c>
      <c r="O55" s="111">
        <f>Table1123457[[#This Row],[M (KN.mm)]]/(Table1123457[[#This Row],[b (mm)]]*Table1123457[[#This Row],[h (mm)]]*Table1123457[[#This Row],[L(mm)]])</f>
        <v>4.1782613418904127E-4</v>
      </c>
      <c r="P55" s="111">
        <f>Table1123457[[#This Row],[M (KN.mm)]]/(Table1123457[[#This Row],[b (mm)]]*Table1123457[[#This Row],[d (mm)]]*Table1123457[[#This Row],[L(mm)]])</f>
        <v>4.6288581532707513E-4</v>
      </c>
      <c r="Q55" s="111">
        <f>Table1123457[[#This Row],[M (KN.mm)]]/(Table1123457[[#This Row],[b (mm)]]*Table1123457[[#This Row],[h (mm)]]*Table1123457[[#This Row],[L(mm)]]*Table1123457[[#This Row],[fc (Mpa)]])</f>
        <v>1.1262159951187096E-5</v>
      </c>
      <c r="R55" s="111">
        <f>Table1123457[[#This Row],[M (KN.mm)]]/(Table1123457[[#This Row],[b (mm)]]*Table1123457[[#This Row],[h (mm)]]*Table1123457[[#This Row],[L(mm)]]/2)</f>
        <v>8.3565226837808255E-4</v>
      </c>
      <c r="S55" s="111">
        <f>Table1123457[[#This Row],[M (KN.mm)]]/(Table1123457[[#This Row],[a (mm)]]*Table1123457[[#This Row],[b (mm)]]*Table1123457[[#This Row],[h (mm)]]*Table1123457[[#This Row],[L(mm)]]/2)</f>
        <v>8.0351179651738702E-7</v>
      </c>
      <c r="T55" s="111">
        <f>G55/($AL$5*AH55*0.001*Table1123457[[#This Row],[pho (%)]])</f>
        <v>3.7050592275467487E-6</v>
      </c>
      <c r="U55" s="111">
        <f>Table1123457[[#This Row],[M (KN.mm)]]/(Table1123457[[#This Row],[b (mm)]]*Table1123457[[#This Row],[d (mm)]]*Table1123457[[#This Row],[pho (%)]])</f>
        <v>1.0352715009465765</v>
      </c>
      <c r="V55" s="111">
        <f>E55*224.8/(2*SQRT(Table1123457[[#This Row],[fc (Mpa)]]*145.037)*Table1123457[[#This Row],[b (mm)]]*Table1123457[[#This Row],[d (mm)]]*(1/25.4)^2)</f>
        <v>0.9151899740564734</v>
      </c>
      <c r="W55" s="111">
        <f>Table1123457[[#This Row],[M (KN.mm)]]/$G$60</f>
        <v>0.38684719535783363</v>
      </c>
      <c r="X55" s="111">
        <f t="shared" si="4"/>
        <v>0.9151899740564734</v>
      </c>
      <c r="Y55" s="111">
        <v>1040</v>
      </c>
      <c r="Z55" s="111">
        <v>306</v>
      </c>
      <c r="AA55" s="111">
        <v>339</v>
      </c>
      <c r="AB55" s="111">
        <v>706</v>
      </c>
      <c r="AC55" s="7">
        <v>37.1</v>
      </c>
      <c r="AD55" s="111">
        <f>Table1123457[[#This Row],[pho (%)]]*Table1123457[[#This Row],[b (mm)]]*Table1123457[[#This Row],[h (mm)]]/100</f>
        <v>2225.8062000000004</v>
      </c>
      <c r="AE55" s="160">
        <v>0.93</v>
      </c>
      <c r="AF55" s="160">
        <v>525</v>
      </c>
      <c r="AG55" s="111">
        <f>(1/3-0.21*(MIN(Table1123457[[#This Row],[b (mm)]],AA55)/MAX(Table1123457[[#This Row],[b (mm)]],AA55))*(MIN(Table1123457[[#This Row],[b (mm)]],AA55)^4/(12*MAX(Table1123457[[#This Row],[b (mm)]],AA55)^4)))*MAX(Table1123457[[#This Row],[b (mm)]],AA55)*MIN(Table1123457[[#This Row],[b (mm)]],AA55)^3</f>
        <v>9155881359.2335663</v>
      </c>
      <c r="AH55" s="111">
        <f>Table1123457[[#This Row],[b (mm)]]*AA55^3/12</f>
        <v>2292041884.5</v>
      </c>
      <c r="AI55" s="111">
        <v>2080</v>
      </c>
      <c r="AK55" s="126"/>
      <c r="AL55" s="139"/>
      <c r="AM55" s="139"/>
      <c r="AN55" s="105"/>
      <c r="AO55" s="105"/>
      <c r="AP55" s="105"/>
    </row>
    <row r="56" spans="1:44" x14ac:dyDescent="0.25">
      <c r="A56" s="242" t="s">
        <v>148</v>
      </c>
      <c r="B56" s="242">
        <v>2</v>
      </c>
      <c r="C56" s="185">
        <v>55</v>
      </c>
      <c r="D56" s="185">
        <f>Table1123457[[#This Row],[a (mm)]]/Table1123457[[#This Row],[d (mm)]]</f>
        <v>3.3986928104575163</v>
      </c>
      <c r="E56" s="228">
        <v>352</v>
      </c>
      <c r="F56" s="137">
        <f>Table1123457[[#This Row],[d (mm)]]</f>
        <v>306</v>
      </c>
      <c r="G56" s="111">
        <f t="shared" si="3"/>
        <v>366080</v>
      </c>
      <c r="H56" s="135">
        <f t="shared" si="0"/>
        <v>6.0644409436485188E-6</v>
      </c>
      <c r="I56" s="135">
        <f>G56/(Table1123457[[#This Row],[b (mm)]]*Z56^2)</f>
        <v>5.5376875580044329E-3</v>
      </c>
      <c r="J56" s="135">
        <f t="shared" si="1"/>
        <v>1.0237830266419299</v>
      </c>
      <c r="K56" s="111">
        <f t="shared" si="2"/>
        <v>1.2243705049211064E-6</v>
      </c>
      <c r="L56" s="111">
        <f>E56/(Table1123457[[#This Row],[b (mm)]]*Z56)</f>
        <v>1.6293580699513043E-3</v>
      </c>
      <c r="M56" s="111">
        <f>Table1123457[[#This Row],[M (KN.mm)]]/(Table1123457[[#This Row],[b (mm)]]*Table1123457[[#This Row],[d (mm)]])</f>
        <v>1.6945323927493565</v>
      </c>
      <c r="N56" s="111">
        <f>Table1123457[[#This Row],[M (KN.mm)]]/(Table1123457[[#This Row],[b (mm)]]*Table1123457[[#This Row],[h (mm)]])</f>
        <v>1.5295779120392423</v>
      </c>
      <c r="O56" s="111">
        <f>Table1123457[[#This Row],[M (KN.mm)]]/(Table1123457[[#This Row],[b (mm)]]*Table1123457[[#This Row],[h (mm)]]*Table1123457[[#This Row],[L(mm)]])</f>
        <v>7.3537399617271256E-4</v>
      </c>
      <c r="P56" s="111">
        <f>Table1123457[[#This Row],[M (KN.mm)]]/(Table1123457[[#This Row],[b (mm)]]*Table1123457[[#This Row],[d (mm)]]*Table1123457[[#This Row],[L(mm)]])</f>
        <v>8.1467903497565216E-4</v>
      </c>
      <c r="Q56" s="111">
        <f>Table1123457[[#This Row],[M (KN.mm)]]/(Table1123457[[#This Row],[b (mm)]]*Table1123457[[#This Row],[h (mm)]]*Table1123457[[#This Row],[L(mm)]]*Table1123457[[#This Row],[fc (Mpa)]])</f>
        <v>1.9821401514089289E-5</v>
      </c>
      <c r="R56" s="111">
        <f>Table1123457[[#This Row],[M (KN.mm)]]/(Table1123457[[#This Row],[b (mm)]]*Table1123457[[#This Row],[h (mm)]]*Table1123457[[#This Row],[L(mm)]]/2)</f>
        <v>1.4707479923454251E-3</v>
      </c>
      <c r="S56" s="111">
        <f>Table1123457[[#This Row],[M (KN.mm)]]/(Table1123457[[#This Row],[a (mm)]]*Table1123457[[#This Row],[b (mm)]]*Table1123457[[#This Row],[h (mm)]]*Table1123457[[#This Row],[L(mm)]]/2)</f>
        <v>1.4141807618706011E-6</v>
      </c>
      <c r="T56" s="111">
        <f>G56/($AL$5*AH56*0.001*Table1123457[[#This Row],[pho (%)]])</f>
        <v>6.5209042404822775E-6</v>
      </c>
      <c r="U56" s="111">
        <f>Table1123457[[#This Row],[M (KN.mm)]]/(Table1123457[[#This Row],[b (mm)]]*Table1123457[[#This Row],[d (mm)]]*Table1123457[[#This Row],[pho (%)]])</f>
        <v>1.8220778416659746</v>
      </c>
      <c r="V56" s="111">
        <f>E56*224.8/(2*SQRT(Table1123457[[#This Row],[fc (Mpa)]]*145.037)*Table1123457[[#This Row],[b (mm)]]*Table1123457[[#This Row],[d (mm)]]*(1/25.4)^2)</f>
        <v>1.6107343543393933</v>
      </c>
      <c r="W56" s="111">
        <f>Table1123457[[#This Row],[M (KN.mm)]]/$G$60</f>
        <v>0.68085106382978722</v>
      </c>
      <c r="X56" s="111">
        <f t="shared" si="4"/>
        <v>1.6107343543393933</v>
      </c>
      <c r="Y56" s="111">
        <v>1040</v>
      </c>
      <c r="Z56" s="111">
        <v>306</v>
      </c>
      <c r="AA56" s="111">
        <v>339</v>
      </c>
      <c r="AB56" s="111">
        <v>706</v>
      </c>
      <c r="AC56" s="7">
        <v>37.1</v>
      </c>
      <c r="AD56" s="111">
        <f>Table1123457[[#This Row],[pho (%)]]*Table1123457[[#This Row],[b (mm)]]*Table1123457[[#This Row],[h (mm)]]/100</f>
        <v>2225.8062000000004</v>
      </c>
      <c r="AE56" s="160">
        <v>0.93</v>
      </c>
      <c r="AF56" s="160">
        <v>525</v>
      </c>
      <c r="AG56" s="111">
        <f>(1/3-0.21*(MIN(Table1123457[[#This Row],[b (mm)]],AA56)/MAX(Table1123457[[#This Row],[b (mm)]],AA56))*(MIN(Table1123457[[#This Row],[b (mm)]],AA56)^4/(12*MAX(Table1123457[[#This Row],[b (mm)]],AA56)^4)))*MAX(Table1123457[[#This Row],[b (mm)]],AA56)*MIN(Table1123457[[#This Row],[b (mm)]],AA56)^3</f>
        <v>9155881359.2335663</v>
      </c>
      <c r="AH56" s="111">
        <f>Table1123457[[#This Row],[b (mm)]]*AA56^3/12</f>
        <v>2292041884.5</v>
      </c>
      <c r="AI56" s="111">
        <v>2080</v>
      </c>
      <c r="AK56" s="126"/>
      <c r="AL56" s="139"/>
      <c r="AM56" s="139"/>
      <c r="AN56" s="105"/>
      <c r="AO56" s="105"/>
      <c r="AP56" s="105"/>
    </row>
    <row r="57" spans="1:44" x14ac:dyDescent="0.25">
      <c r="A57" s="242" t="s">
        <v>148</v>
      </c>
      <c r="B57" s="242">
        <v>3</v>
      </c>
      <c r="C57" s="185">
        <v>56</v>
      </c>
      <c r="D57" s="185">
        <f>Table1123457[[#This Row],[a (mm)]]/Table1123457[[#This Row],[d (mm)]]</f>
        <v>3.3986928104575163</v>
      </c>
      <c r="E57" s="228">
        <v>400</v>
      </c>
      <c r="F57" s="137">
        <f>Table1123457[[#This Row],[d (mm)]]</f>
        <v>306</v>
      </c>
      <c r="G57" s="111">
        <f t="shared" si="3"/>
        <v>416000</v>
      </c>
      <c r="H57" s="135">
        <f t="shared" si="0"/>
        <v>6.8914101632369536E-6</v>
      </c>
      <c r="I57" s="135">
        <f>G57/(Table1123457[[#This Row],[b (mm)]]*Z57^2)</f>
        <v>6.2928267704595829E-3</v>
      </c>
      <c r="J57" s="135">
        <f t="shared" si="1"/>
        <v>1.163389803002193</v>
      </c>
      <c r="K57" s="111">
        <f t="shared" si="2"/>
        <v>1.3913301192285301E-6</v>
      </c>
      <c r="L57" s="111">
        <f>E57/(Table1123457[[#This Row],[b (mm)]]*Z57)</f>
        <v>1.8515432613083005E-3</v>
      </c>
      <c r="M57" s="111">
        <f>Table1123457[[#This Row],[M (KN.mm)]]/(Table1123457[[#This Row],[b (mm)]]*Table1123457[[#This Row],[d (mm)]])</f>
        <v>1.9256049917606324</v>
      </c>
      <c r="N57" s="111">
        <f>Table1123457[[#This Row],[M (KN.mm)]]/(Table1123457[[#This Row],[b (mm)]]*Table1123457[[#This Row],[h (mm)]])</f>
        <v>1.7381567182264117</v>
      </c>
      <c r="O57" s="111">
        <f>Table1123457[[#This Row],[M (KN.mm)]]/(Table1123457[[#This Row],[b (mm)]]*Table1123457[[#This Row],[h (mm)]]*Table1123457[[#This Row],[L(mm)]])</f>
        <v>8.3565226837808255E-4</v>
      </c>
      <c r="P57" s="111">
        <f>Table1123457[[#This Row],[M (KN.mm)]]/(Table1123457[[#This Row],[b (mm)]]*Table1123457[[#This Row],[d (mm)]]*Table1123457[[#This Row],[L(mm)]])</f>
        <v>9.2577163065415025E-4</v>
      </c>
      <c r="Q57" s="111">
        <f>Table1123457[[#This Row],[M (KN.mm)]]/(Table1123457[[#This Row],[b (mm)]]*Table1123457[[#This Row],[h (mm)]]*Table1123457[[#This Row],[L(mm)]]*Table1123457[[#This Row],[fc (Mpa)]])</f>
        <v>2.2524319902374193E-5</v>
      </c>
      <c r="R57" s="111">
        <f>Table1123457[[#This Row],[M (KN.mm)]]/(Table1123457[[#This Row],[b (mm)]]*Table1123457[[#This Row],[h (mm)]]*Table1123457[[#This Row],[L(mm)]]/2)</f>
        <v>1.6713045367561651E-3</v>
      </c>
      <c r="S57" s="111">
        <f>Table1123457[[#This Row],[M (KN.mm)]]/(Table1123457[[#This Row],[a (mm)]]*Table1123457[[#This Row],[b (mm)]]*Table1123457[[#This Row],[h (mm)]]*Table1123457[[#This Row],[L(mm)]]/2)</f>
        <v>1.607023593034774E-6</v>
      </c>
      <c r="T57" s="111">
        <f>G57/($AL$5*AH57*0.001*Table1123457[[#This Row],[pho (%)]])</f>
        <v>7.4101184550934973E-6</v>
      </c>
      <c r="U57" s="111">
        <f>Table1123457[[#This Row],[M (KN.mm)]]/(Table1123457[[#This Row],[b (mm)]]*Table1123457[[#This Row],[d (mm)]]*Table1123457[[#This Row],[pho (%)]])</f>
        <v>2.070543001893153</v>
      </c>
      <c r="V57" s="111">
        <f>E57*224.8/(2*SQRT(Table1123457[[#This Row],[fc (Mpa)]]*145.037)*Table1123457[[#This Row],[b (mm)]]*Table1123457[[#This Row],[d (mm)]]*(1/25.4)^2)</f>
        <v>1.8303799481129468</v>
      </c>
      <c r="W57" s="111">
        <f>Table1123457[[#This Row],[M (KN.mm)]]/$G$60</f>
        <v>0.77369439071566726</v>
      </c>
      <c r="X57" s="111">
        <f t="shared" si="4"/>
        <v>1.8303799481129468</v>
      </c>
      <c r="Y57" s="111">
        <v>1040</v>
      </c>
      <c r="Z57" s="111">
        <v>306</v>
      </c>
      <c r="AA57" s="111">
        <v>339</v>
      </c>
      <c r="AB57" s="111">
        <v>706</v>
      </c>
      <c r="AC57" s="7">
        <v>37.1</v>
      </c>
      <c r="AD57" s="111">
        <f>Table1123457[[#This Row],[pho (%)]]*Table1123457[[#This Row],[b (mm)]]*Table1123457[[#This Row],[h (mm)]]/100</f>
        <v>2225.8062000000004</v>
      </c>
      <c r="AE57" s="160">
        <v>0.93</v>
      </c>
      <c r="AF57" s="160">
        <v>525</v>
      </c>
      <c r="AG57" s="111">
        <f>(1/3-0.21*(MIN(Table1123457[[#This Row],[b (mm)]],AA57)/MAX(Table1123457[[#This Row],[b (mm)]],AA57))*(MIN(Table1123457[[#This Row],[b (mm)]],AA57)^4/(12*MAX(Table1123457[[#This Row],[b (mm)]],AA57)^4)))*MAX(Table1123457[[#This Row],[b (mm)]],AA57)*MIN(Table1123457[[#This Row],[b (mm)]],AA57)^3</f>
        <v>9155881359.2335663</v>
      </c>
      <c r="AH57" s="111">
        <f>Table1123457[[#This Row],[b (mm)]]*AA57^3/12</f>
        <v>2292041884.5</v>
      </c>
      <c r="AI57" s="111">
        <v>2080</v>
      </c>
      <c r="AK57" s="126"/>
    </row>
    <row r="58" spans="1:44" x14ac:dyDescent="0.25">
      <c r="A58" s="242" t="s">
        <v>148</v>
      </c>
      <c r="B58" s="242">
        <v>4</v>
      </c>
      <c r="C58" s="185">
        <v>57</v>
      </c>
      <c r="D58" s="185">
        <f>Table1123457[[#This Row],[a (mm)]]/Table1123457[[#This Row],[d (mm)]]</f>
        <v>3.3986928104575163</v>
      </c>
      <c r="E58" s="228">
        <v>450</v>
      </c>
      <c r="F58" s="137">
        <f>Table1123457[[#This Row],[d (mm)]]</f>
        <v>306</v>
      </c>
      <c r="G58" s="111">
        <f t="shared" si="3"/>
        <v>468000</v>
      </c>
      <c r="H58" s="135">
        <f t="shared" si="0"/>
        <v>7.7528364336415716E-6</v>
      </c>
      <c r="I58" s="135">
        <f>G58/(Table1123457[[#This Row],[b (mm)]]*Z58^2)</f>
        <v>7.0794301167670312E-3</v>
      </c>
      <c r="J58" s="135">
        <f t="shared" si="1"/>
        <v>1.3088135283774671</v>
      </c>
      <c r="K58" s="111">
        <f t="shared" si="2"/>
        <v>1.5652463841320965E-6</v>
      </c>
      <c r="L58" s="111">
        <f>E58/(Table1123457[[#This Row],[b (mm)]]*Z58)</f>
        <v>2.082986168971838E-3</v>
      </c>
      <c r="M58" s="111">
        <f>Table1123457[[#This Row],[M (KN.mm)]]/(Table1123457[[#This Row],[b (mm)]]*Table1123457[[#This Row],[d (mm)]])</f>
        <v>2.1663056157307117</v>
      </c>
      <c r="N58" s="111">
        <f>Table1123457[[#This Row],[M (KN.mm)]]/(Table1123457[[#This Row],[b (mm)]]*Table1123457[[#This Row],[h (mm)]])</f>
        <v>1.9554263080047132</v>
      </c>
      <c r="O58" s="111">
        <f>Table1123457[[#This Row],[M (KN.mm)]]/(Table1123457[[#This Row],[b (mm)]]*Table1123457[[#This Row],[h (mm)]]*Table1123457[[#This Row],[L(mm)]])</f>
        <v>9.401088019253428E-4</v>
      </c>
      <c r="P58" s="111">
        <f>Table1123457[[#This Row],[M (KN.mm)]]/(Table1123457[[#This Row],[b (mm)]]*Table1123457[[#This Row],[d (mm)]]*Table1123457[[#This Row],[L(mm)]])</f>
        <v>1.041493084485919E-3</v>
      </c>
      <c r="Q58" s="111">
        <f>Table1123457[[#This Row],[M (KN.mm)]]/(Table1123457[[#This Row],[b (mm)]]*Table1123457[[#This Row],[h (mm)]]*Table1123457[[#This Row],[L(mm)]]*Table1123457[[#This Row],[fc (Mpa)]])</f>
        <v>2.5339859890170965E-5</v>
      </c>
      <c r="R58" s="111">
        <f>Table1123457[[#This Row],[M (KN.mm)]]/(Table1123457[[#This Row],[b (mm)]]*Table1123457[[#This Row],[h (mm)]]*Table1123457[[#This Row],[L(mm)]]/2)</f>
        <v>1.8802176038506856E-3</v>
      </c>
      <c r="S58" s="111">
        <f>Table1123457[[#This Row],[M (KN.mm)]]/(Table1123457[[#This Row],[a (mm)]]*Table1123457[[#This Row],[b (mm)]]*Table1123457[[#This Row],[h (mm)]]*Table1123457[[#This Row],[L(mm)]]/2)</f>
        <v>1.8079015421641209E-6</v>
      </c>
      <c r="T58" s="111">
        <f>G58/($AL$5*AH58*0.001*Table1123457[[#This Row],[pho (%)]])</f>
        <v>8.3363832619801845E-6</v>
      </c>
      <c r="U58" s="111">
        <f>Table1123457[[#This Row],[M (KN.mm)]]/(Table1123457[[#This Row],[b (mm)]]*Table1123457[[#This Row],[d (mm)]]*Table1123457[[#This Row],[pho (%)]])</f>
        <v>2.3293608771297971</v>
      </c>
      <c r="V58" s="111">
        <f>E58*224.8/(2*SQRT(Table1123457[[#This Row],[fc (Mpa)]]*145.037)*Table1123457[[#This Row],[b (mm)]]*Table1123457[[#This Row],[d (mm)]]*(1/25.4)^2)</f>
        <v>2.0591774416270652</v>
      </c>
      <c r="W58" s="111">
        <f>Table1123457[[#This Row],[M (KN.mm)]]/$G$60</f>
        <v>0.87040618955512572</v>
      </c>
      <c r="X58" s="111">
        <f t="shared" si="4"/>
        <v>2.0591774416270652</v>
      </c>
      <c r="Y58" s="111">
        <v>1040</v>
      </c>
      <c r="Z58" s="111">
        <v>306</v>
      </c>
      <c r="AA58" s="111">
        <v>339</v>
      </c>
      <c r="AB58" s="111">
        <v>706</v>
      </c>
      <c r="AC58" s="7">
        <v>37.1</v>
      </c>
      <c r="AD58" s="111">
        <f>Table1123457[[#This Row],[pho (%)]]*Table1123457[[#This Row],[b (mm)]]*Table1123457[[#This Row],[h (mm)]]/100</f>
        <v>2225.8062000000004</v>
      </c>
      <c r="AE58" s="160">
        <v>0.93</v>
      </c>
      <c r="AF58" s="160">
        <v>525</v>
      </c>
      <c r="AG58" s="111">
        <f>(1/3-0.21*(MIN(Table1123457[[#This Row],[b (mm)]],AA58)/MAX(Table1123457[[#This Row],[b (mm)]],AA58))*(MIN(Table1123457[[#This Row],[b (mm)]],AA58)^4/(12*MAX(Table1123457[[#This Row],[b (mm)]],AA58)^4)))*MAX(Table1123457[[#This Row],[b (mm)]],AA58)*MIN(Table1123457[[#This Row],[b (mm)]],AA58)^3</f>
        <v>9155881359.2335663</v>
      </c>
      <c r="AH58" s="111">
        <f>Table1123457[[#This Row],[b (mm)]]*AA58^3/12</f>
        <v>2292041884.5</v>
      </c>
      <c r="AI58" s="111">
        <v>2080</v>
      </c>
      <c r="AK58" s="126"/>
    </row>
    <row r="59" spans="1:44" x14ac:dyDescent="0.25">
      <c r="A59" s="242" t="s">
        <v>148</v>
      </c>
      <c r="B59" s="242">
        <v>5</v>
      </c>
      <c r="C59" s="185">
        <v>58</v>
      </c>
      <c r="D59" s="185">
        <f>Table1123457[[#This Row],[a (mm)]]/Table1123457[[#This Row],[d (mm)]]</f>
        <v>3.3986928104575163</v>
      </c>
      <c r="E59" s="228">
        <v>500</v>
      </c>
      <c r="F59" s="137">
        <f>Table1123457[[#This Row],[d (mm)]]</f>
        <v>306</v>
      </c>
      <c r="G59" s="111">
        <f t="shared" si="3"/>
        <v>520000</v>
      </c>
      <c r="H59" s="135">
        <f t="shared" si="0"/>
        <v>8.6142627040461922E-6</v>
      </c>
      <c r="I59" s="135">
        <f>G59/(Table1123457[[#This Row],[b (mm)]]*Z59^2)</f>
        <v>7.8660334630744795E-3</v>
      </c>
      <c r="J59" s="135">
        <f t="shared" si="1"/>
        <v>1.4542372537527413</v>
      </c>
      <c r="K59" s="111">
        <f t="shared" si="2"/>
        <v>1.7391626490356626E-6</v>
      </c>
      <c r="L59" s="111">
        <f>E59/(Table1123457[[#This Row],[b (mm)]]*Z59)</f>
        <v>2.3144290766353758E-3</v>
      </c>
      <c r="M59" s="111">
        <f>Table1123457[[#This Row],[M (KN.mm)]]/(Table1123457[[#This Row],[b (mm)]]*Table1123457[[#This Row],[d (mm)]])</f>
        <v>2.4070062397007908</v>
      </c>
      <c r="N59" s="111">
        <f>Table1123457[[#This Row],[M (KN.mm)]]/(Table1123457[[#This Row],[b (mm)]]*Table1123457[[#This Row],[h (mm)]])</f>
        <v>2.1726958977830146</v>
      </c>
      <c r="O59" s="111">
        <f>Table1123457[[#This Row],[M (KN.mm)]]/(Table1123457[[#This Row],[b (mm)]]*Table1123457[[#This Row],[h (mm)]]*Table1123457[[#This Row],[L(mm)]])</f>
        <v>1.0445653354726032E-3</v>
      </c>
      <c r="P59" s="111">
        <f>Table1123457[[#This Row],[M (KN.mm)]]/(Table1123457[[#This Row],[b (mm)]]*Table1123457[[#This Row],[d (mm)]]*Table1123457[[#This Row],[L(mm)]])</f>
        <v>1.1572145383176879E-3</v>
      </c>
      <c r="Q59" s="111">
        <f>Table1123457[[#This Row],[M (KN.mm)]]/(Table1123457[[#This Row],[b (mm)]]*Table1123457[[#This Row],[h (mm)]]*Table1123457[[#This Row],[L(mm)]]*Table1123457[[#This Row],[fc (Mpa)]])</f>
        <v>2.8155399877967741E-5</v>
      </c>
      <c r="R59" s="111">
        <f>Table1123457[[#This Row],[M (KN.mm)]]/(Table1123457[[#This Row],[b (mm)]]*Table1123457[[#This Row],[h (mm)]]*Table1123457[[#This Row],[L(mm)]]/2)</f>
        <v>2.0891306709452063E-3</v>
      </c>
      <c r="S59" s="111">
        <f>Table1123457[[#This Row],[M (KN.mm)]]/(Table1123457[[#This Row],[a (mm)]]*Table1123457[[#This Row],[b (mm)]]*Table1123457[[#This Row],[h (mm)]]*Table1123457[[#This Row],[L(mm)]]/2)</f>
        <v>2.0087794912934677E-6</v>
      </c>
      <c r="T59" s="111">
        <f>G59/($AL$5*AH59*0.001*Table1123457[[#This Row],[pho (%)]])</f>
        <v>9.2626480688668717E-6</v>
      </c>
      <c r="U59" s="111">
        <f>Table1123457[[#This Row],[M (KN.mm)]]/(Table1123457[[#This Row],[b (mm)]]*Table1123457[[#This Row],[d (mm)]]*Table1123457[[#This Row],[pho (%)]])</f>
        <v>2.5881787523664412</v>
      </c>
      <c r="V59" s="111">
        <f>E59*224.8/(2*SQRT(Table1123457[[#This Row],[fc (Mpa)]]*145.037)*Table1123457[[#This Row],[b (mm)]]*Table1123457[[#This Row],[d (mm)]]*(1/25.4)^2)</f>
        <v>2.2879749351411833</v>
      </c>
      <c r="W59" s="111">
        <f>Table1123457[[#This Row],[M (KN.mm)]]/$G$60</f>
        <v>0.96711798839458418</v>
      </c>
      <c r="X59" s="111">
        <f t="shared" si="4"/>
        <v>2.2879749351411833</v>
      </c>
      <c r="Y59" s="111">
        <v>1040</v>
      </c>
      <c r="Z59" s="111">
        <v>306</v>
      </c>
      <c r="AA59" s="111">
        <v>339</v>
      </c>
      <c r="AB59" s="111">
        <v>706</v>
      </c>
      <c r="AC59" s="7">
        <v>37.1</v>
      </c>
      <c r="AD59" s="111">
        <f>Table1123457[[#This Row],[pho (%)]]*Table1123457[[#This Row],[b (mm)]]*Table1123457[[#This Row],[h (mm)]]/100</f>
        <v>2225.8062000000004</v>
      </c>
      <c r="AE59" s="160">
        <v>0.93</v>
      </c>
      <c r="AF59" s="160">
        <v>525</v>
      </c>
      <c r="AG59" s="111">
        <f>(1/3-0.21*(MIN(Table1123457[[#This Row],[b (mm)]],AA59)/MAX(Table1123457[[#This Row],[b (mm)]],AA59))*(MIN(Table1123457[[#This Row],[b (mm)]],AA59)^4/(12*MAX(Table1123457[[#This Row],[b (mm)]],AA59)^4)))*MAX(Table1123457[[#This Row],[b (mm)]],AA59)*MIN(Table1123457[[#This Row],[b (mm)]],AA59)^3</f>
        <v>9155881359.2335663</v>
      </c>
      <c r="AH59" s="111">
        <f>Table1123457[[#This Row],[b (mm)]]*AA59^3/12</f>
        <v>2292041884.5</v>
      </c>
      <c r="AI59" s="111">
        <v>2080</v>
      </c>
      <c r="AK59" s="126"/>
    </row>
    <row r="60" spans="1:44" x14ac:dyDescent="0.25">
      <c r="A60" s="242" t="s">
        <v>148</v>
      </c>
      <c r="B60" s="242" t="s">
        <v>141</v>
      </c>
      <c r="C60" s="185">
        <v>59</v>
      </c>
      <c r="D60" s="185">
        <f>Table1123457[[#This Row],[a (mm)]]/Table1123457[[#This Row],[d (mm)]]</f>
        <v>3.3986928104575163</v>
      </c>
      <c r="E60" s="228">
        <v>517</v>
      </c>
      <c r="F60" s="137">
        <f>Table1123457[[#This Row],[d (mm)]]</f>
        <v>306</v>
      </c>
      <c r="G60" s="111">
        <f t="shared" si="3"/>
        <v>537680</v>
      </c>
      <c r="H60" s="135">
        <f t="shared" si="0"/>
        <v>8.9071476359837618E-6</v>
      </c>
      <c r="I60" s="135">
        <f>G60/(Table1123457[[#This Row],[b (mm)]]*Z60^2)</f>
        <v>8.1334786008190121E-3</v>
      </c>
      <c r="J60" s="135">
        <f t="shared" si="1"/>
        <v>1.5036813203803343</v>
      </c>
      <c r="K60" s="111">
        <f t="shared" si="2"/>
        <v>1.7982941791028751E-6</v>
      </c>
      <c r="L60" s="111">
        <f>E60/(Table1123457[[#This Row],[b (mm)]]*Z60)</f>
        <v>2.3931196652409782E-3</v>
      </c>
      <c r="M60" s="111">
        <f>Table1123457[[#This Row],[M (KN.mm)]]/(Table1123457[[#This Row],[b (mm)]]*Table1123457[[#This Row],[d (mm)]])</f>
        <v>2.4888444518506176</v>
      </c>
      <c r="N60" s="111">
        <f>Table1123457[[#This Row],[M (KN.mm)]]/(Table1123457[[#This Row],[b (mm)]]*Table1123457[[#This Row],[h (mm)]])</f>
        <v>2.2465675583076372</v>
      </c>
      <c r="O60" s="111">
        <f>Table1123457[[#This Row],[M (KN.mm)]]/(Table1123457[[#This Row],[b (mm)]]*Table1123457[[#This Row],[h (mm)]]*Table1123457[[#This Row],[L(mm)]])</f>
        <v>1.0800805568786716E-3</v>
      </c>
      <c r="P60" s="111">
        <f>Table1123457[[#This Row],[M (KN.mm)]]/(Table1123457[[#This Row],[b (mm)]]*Table1123457[[#This Row],[d (mm)]]*Table1123457[[#This Row],[L(mm)]])</f>
        <v>1.1965598326204891E-3</v>
      </c>
      <c r="Q60" s="111">
        <f>Table1123457[[#This Row],[M (KN.mm)]]/(Table1123457[[#This Row],[b (mm)]]*Table1123457[[#This Row],[h (mm)]]*Table1123457[[#This Row],[L(mm)]]*Table1123457[[#This Row],[fc (Mpa)]])</f>
        <v>2.9112683473818643E-5</v>
      </c>
      <c r="R60" s="111">
        <f>Table1123457[[#This Row],[M (KN.mm)]]/(Table1123457[[#This Row],[b (mm)]]*Table1123457[[#This Row],[h (mm)]]*Table1123457[[#This Row],[L(mm)]]/2)</f>
        <v>2.1601611137573432E-3</v>
      </c>
      <c r="S60" s="111">
        <f>Table1123457[[#This Row],[M (KN.mm)]]/(Table1123457[[#This Row],[a (mm)]]*Table1123457[[#This Row],[b (mm)]]*Table1123457[[#This Row],[h (mm)]]*Table1123457[[#This Row],[L(mm)]]/2)</f>
        <v>2.0770779939974453E-6</v>
      </c>
      <c r="T60" s="111">
        <f>G60/($AL$5*AH60*0.001*Table1123457[[#This Row],[pho (%)]])</f>
        <v>9.577578103208345E-6</v>
      </c>
      <c r="U60" s="111">
        <f>Table1123457[[#This Row],[M (KN.mm)]]/(Table1123457[[#This Row],[b (mm)]]*Table1123457[[#This Row],[d (mm)]]*Table1123457[[#This Row],[pho (%)]])</f>
        <v>2.6761768299469004</v>
      </c>
      <c r="V60" s="111">
        <f>E60*224.8/(2*SQRT(Table1123457[[#This Row],[fc (Mpa)]]*145.037)*Table1123457[[#This Row],[b (mm)]]*Table1123457[[#This Row],[d (mm)]]*(1/25.4)^2)</f>
        <v>2.3657660829359837</v>
      </c>
      <c r="W60" s="111">
        <f>Table1123457[[#This Row],[M (KN.mm)]]/$G$60</f>
        <v>1</v>
      </c>
      <c r="X60" s="111">
        <f t="shared" si="4"/>
        <v>2.3657660829359837</v>
      </c>
      <c r="Y60" s="111">
        <v>1040</v>
      </c>
      <c r="Z60" s="111">
        <v>306</v>
      </c>
      <c r="AA60" s="111">
        <v>339</v>
      </c>
      <c r="AB60" s="111">
        <v>706</v>
      </c>
      <c r="AC60" s="7">
        <v>37.1</v>
      </c>
      <c r="AD60" s="111">
        <f>Table1123457[[#This Row],[pho (%)]]*Table1123457[[#This Row],[b (mm)]]*Table1123457[[#This Row],[h (mm)]]/100</f>
        <v>2225.8062000000004</v>
      </c>
      <c r="AE60" s="160">
        <v>0.93</v>
      </c>
      <c r="AF60" s="160">
        <v>525</v>
      </c>
      <c r="AG60" s="111">
        <f>(1/3-0.21*(MIN(Table1123457[[#This Row],[b (mm)]],AA60)/MAX(Table1123457[[#This Row],[b (mm)]],AA60))*(MIN(Table1123457[[#This Row],[b (mm)]],AA60)^4/(12*MAX(Table1123457[[#This Row],[b (mm)]],AA60)^4)))*MAX(Table1123457[[#This Row],[b (mm)]],AA60)*MIN(Table1123457[[#This Row],[b (mm)]],AA60)^3</f>
        <v>9155881359.2335663</v>
      </c>
      <c r="AH60" s="111">
        <f>Table1123457[[#This Row],[b (mm)]]*AA60^3/12</f>
        <v>2292041884.5</v>
      </c>
      <c r="AI60" s="111">
        <v>2080</v>
      </c>
      <c r="AK60" s="126"/>
    </row>
    <row r="61" spans="1:44" x14ac:dyDescent="0.25">
      <c r="A61" s="243" t="s">
        <v>150</v>
      </c>
      <c r="B61" s="243">
        <v>1</v>
      </c>
      <c r="C61" s="185">
        <v>60</v>
      </c>
      <c r="D61" s="185">
        <f>Table1123457[[#This Row],[a (mm)]]/Table1123457[[#This Row],[d (mm)]]</f>
        <v>3.3876221498371337</v>
      </c>
      <c r="E61" s="244">
        <v>199</v>
      </c>
      <c r="F61" s="137">
        <f>Table1123457[[#This Row],[d (mm)]]</f>
        <v>307</v>
      </c>
      <c r="G61" s="111">
        <f t="shared" si="3"/>
        <v>206960</v>
      </c>
      <c r="H61" s="135">
        <f t="shared" si="0"/>
        <v>3.4284765562103843E-6</v>
      </c>
      <c r="I61" s="135">
        <f>G61/(Table1123457[[#This Row],[b (mm)]]*Z61^2)</f>
        <v>3.1103192173994407E-3</v>
      </c>
      <c r="J61" s="135">
        <f t="shared" si="1"/>
        <v>0.57690112918579428</v>
      </c>
      <c r="K61" s="111">
        <f t="shared" si="2"/>
        <v>6.9218673431619376E-7</v>
      </c>
      <c r="L61" s="111">
        <f>E61/(Table1123457[[#This Row],[b (mm)]]*Z61)</f>
        <v>9.1814230744387336E-4</v>
      </c>
      <c r="M61" s="111">
        <f>Table1123457[[#This Row],[M (KN.mm)]]/(Table1123457[[#This Row],[b (mm)]]*Table1123457[[#This Row],[d (mm)]])</f>
        <v>0.95486799974162828</v>
      </c>
      <c r="N61" s="111">
        <f>Table1123457[[#This Row],[M (KN.mm)]]/(Table1123457[[#This Row],[b (mm)]]*Table1123457[[#This Row],[h (mm)]])</f>
        <v>0.86473296731763982</v>
      </c>
      <c r="O61" s="111">
        <f>Table1123457[[#This Row],[M (KN.mm)]]/(Table1123457[[#This Row],[b (mm)]]*Table1123457[[#This Row],[h (mm)]]*Table1123457[[#This Row],[L(mm)]])</f>
        <v>4.1573700351809603E-4</v>
      </c>
      <c r="P61" s="111">
        <f>Table1123457[[#This Row],[M (KN.mm)]]/(Table1123457[[#This Row],[b (mm)]]*Table1123457[[#This Row],[d (mm)]]*Table1123457[[#This Row],[L(mm)]])</f>
        <v>4.5907115372193668E-4</v>
      </c>
      <c r="Q61" s="111">
        <f>Table1123457[[#This Row],[M (KN.mm)]]/(Table1123457[[#This Row],[b (mm)]]*Table1123457[[#This Row],[h (mm)]]*Table1123457[[#This Row],[L(mm)]]*Table1123457[[#This Row],[fc (Mpa)]])</f>
        <v>1.1205849151431161E-5</v>
      </c>
      <c r="R61" s="111">
        <f>Table1123457[[#This Row],[M (KN.mm)]]/(Table1123457[[#This Row],[b (mm)]]*Table1123457[[#This Row],[h (mm)]]*Table1123457[[#This Row],[L(mm)]]/2)</f>
        <v>8.3147400703619207E-4</v>
      </c>
      <c r="S61" s="111">
        <f>Table1123457[[#This Row],[M (KN.mm)]]/(Table1123457[[#This Row],[a (mm)]]*Table1123457[[#This Row],[b (mm)]]*Table1123457[[#This Row],[h (mm)]]*Table1123457[[#This Row],[L(mm)]]/2)</f>
        <v>7.9949423753480007E-7</v>
      </c>
      <c r="T61" s="111">
        <f>G61/($AL$5*AH61*0.001*Table1123457[[#This Row],[pho (%)]])</f>
        <v>3.686533931409015E-6</v>
      </c>
      <c r="U61" s="111">
        <f>Table1123457[[#This Row],[M (KN.mm)]]/(Table1123457[[#This Row],[b (mm)]]*Table1123457[[#This Row],[d (mm)]]*Table1123457[[#This Row],[pho (%)]])</f>
        <v>1.0267397846684176</v>
      </c>
      <c r="V61" s="111">
        <f>E61*224.8/(2*SQRT(Table1123457[[#This Row],[fc (Mpa)]]*145.037)*Table1123457[[#This Row],[b (mm)]]*Table1123457[[#This Row],[d (mm)]]*(1/25.4)^2)</f>
        <v>0.90764785472630105</v>
      </c>
      <c r="W61" s="111">
        <f>Table1123457[[#This Row],[M (KN.mm)]]/$G$65</f>
        <v>0.40040241448692154</v>
      </c>
      <c r="X61" s="111">
        <f t="shared" si="4"/>
        <v>0.90764785472630105</v>
      </c>
      <c r="Y61" s="111">
        <v>1040</v>
      </c>
      <c r="Z61" s="111">
        <v>307</v>
      </c>
      <c r="AA61" s="111">
        <v>339</v>
      </c>
      <c r="AB61" s="111">
        <v>706</v>
      </c>
      <c r="AC61" s="7">
        <v>37.1</v>
      </c>
      <c r="AD61" s="111">
        <f>Table1123457[[#This Row],[pho (%)]]*Table1123457[[#This Row],[b (mm)]]*Table1123457[[#This Row],[h (mm)]]/100</f>
        <v>2225.8062000000004</v>
      </c>
      <c r="AE61" s="160">
        <v>0.93</v>
      </c>
      <c r="AF61" s="160">
        <v>525</v>
      </c>
      <c r="AG61" s="111">
        <f>(1/3-0.21*(MIN(Table1123457[[#This Row],[b (mm)]],AA61)/MAX(Table1123457[[#This Row],[b (mm)]],AA61))*(MIN(Table1123457[[#This Row],[b (mm)]],AA61)^4/(12*MAX(Table1123457[[#This Row],[b (mm)]],AA61)^4)))*MAX(Table1123457[[#This Row],[b (mm)]],AA61)*MIN(Table1123457[[#This Row],[b (mm)]],AA61)^3</f>
        <v>9155881359.2335663</v>
      </c>
      <c r="AH61" s="111">
        <f>Table1123457[[#This Row],[b (mm)]]*AA61^3/12</f>
        <v>2292041884.5</v>
      </c>
      <c r="AI61" s="111">
        <v>2080</v>
      </c>
      <c r="AK61" s="126"/>
    </row>
    <row r="62" spans="1:44" x14ac:dyDescent="0.25">
      <c r="A62" s="243" t="s">
        <v>150</v>
      </c>
      <c r="B62" s="243">
        <v>2</v>
      </c>
      <c r="C62" s="185">
        <v>61</v>
      </c>
      <c r="D62" s="185">
        <f>Table1123457[[#This Row],[a (mm)]]/Table1123457[[#This Row],[d (mm)]]</f>
        <v>3.3876221498371337</v>
      </c>
      <c r="E62" s="244">
        <v>349</v>
      </c>
      <c r="F62" s="137">
        <f>Table1123457[[#This Row],[d (mm)]]</f>
        <v>307</v>
      </c>
      <c r="G62" s="111">
        <f t="shared" si="3"/>
        <v>362960</v>
      </c>
      <c r="H62" s="135">
        <f t="shared" si="0"/>
        <v>6.0127553674242414E-6</v>
      </c>
      <c r="I62" s="135">
        <f>G62/(Table1123457[[#This Row],[b (mm)]]*Z62^2)</f>
        <v>5.4547809390573104E-3</v>
      </c>
      <c r="J62" s="135">
        <f t="shared" si="1"/>
        <v>1.0117512265620212</v>
      </c>
      <c r="K62" s="111">
        <f t="shared" si="2"/>
        <v>1.2139355290268926E-6</v>
      </c>
      <c r="L62" s="111">
        <f>E62/(Table1123457[[#This Row],[b (mm)]]*Z62)</f>
        <v>1.6102093733563407E-3</v>
      </c>
      <c r="M62" s="111">
        <f>Table1123457[[#This Row],[M (KN.mm)]]/(Table1123457[[#This Row],[b (mm)]]*Table1123457[[#This Row],[d (mm)]])</f>
        <v>1.6746177482905944</v>
      </c>
      <c r="N62" s="111">
        <f>Table1123457[[#This Row],[M (KN.mm)]]/(Table1123457[[#This Row],[b (mm)]]*Table1123457[[#This Row],[h (mm)]])</f>
        <v>1.5165417366525442</v>
      </c>
      <c r="O62" s="111">
        <f>Table1123457[[#This Row],[M (KN.mm)]]/(Table1123457[[#This Row],[b (mm)]]*Table1123457[[#This Row],[h (mm)]]*Table1123457[[#This Row],[L(mm)]])</f>
        <v>7.2910660415987695E-4</v>
      </c>
      <c r="P62" s="111">
        <f>Table1123457[[#This Row],[M (KN.mm)]]/(Table1123457[[#This Row],[b (mm)]]*Table1123457[[#This Row],[d (mm)]]*Table1123457[[#This Row],[L(mm)]])</f>
        <v>8.0510468667817033E-4</v>
      </c>
      <c r="Q62" s="111">
        <f>Table1123457[[#This Row],[M (KN.mm)]]/(Table1123457[[#This Row],[b (mm)]]*Table1123457[[#This Row],[h (mm)]]*Table1123457[[#This Row],[L(mm)]]*Table1123457[[#This Row],[fc (Mpa)]])</f>
        <v>1.9652469114821483E-5</v>
      </c>
      <c r="R62" s="111">
        <f>Table1123457[[#This Row],[M (KN.mm)]]/(Table1123457[[#This Row],[b (mm)]]*Table1123457[[#This Row],[h (mm)]]*Table1123457[[#This Row],[L(mm)]]/2)</f>
        <v>1.4582132083197539E-3</v>
      </c>
      <c r="S62" s="111">
        <f>Table1123457[[#This Row],[M (KN.mm)]]/(Table1123457[[#This Row],[a (mm)]]*Table1123457[[#This Row],[b (mm)]]*Table1123457[[#This Row],[h (mm)]]*Table1123457[[#This Row],[L(mm)]]/2)</f>
        <v>1.4021280849228404E-6</v>
      </c>
      <c r="T62" s="111">
        <f>G62/($AL$5*AH62*0.001*Table1123457[[#This Row],[pho (%)]])</f>
        <v>6.4653283520690765E-6</v>
      </c>
      <c r="U62" s="111">
        <f>Table1123457[[#This Row],[M (KN.mm)]]/(Table1123457[[#This Row],[b (mm)]]*Table1123457[[#This Row],[d (mm)]]*Table1123457[[#This Row],[pho (%)]])</f>
        <v>1.8006642454737574</v>
      </c>
      <c r="V62" s="111">
        <f>E62*224.8/(2*SQRT(Table1123457[[#This Row],[fc (Mpa)]]*145.037)*Table1123457[[#This Row],[b (mm)]]*Table1123457[[#This Row],[d (mm)]]*(1/25.4)^2)</f>
        <v>1.5918045291431107</v>
      </c>
      <c r="W62" s="111">
        <f>Table1123457[[#This Row],[M (KN.mm)]]/$G$65</f>
        <v>0.70221327967806846</v>
      </c>
      <c r="X62" s="111">
        <f t="shared" si="4"/>
        <v>1.5918045291431107</v>
      </c>
      <c r="Y62" s="111">
        <v>1040</v>
      </c>
      <c r="Z62" s="111">
        <v>307</v>
      </c>
      <c r="AA62" s="111">
        <v>339</v>
      </c>
      <c r="AB62" s="111">
        <v>706</v>
      </c>
      <c r="AC62" s="7">
        <v>37.1</v>
      </c>
      <c r="AD62" s="111">
        <f>Table1123457[[#This Row],[pho (%)]]*Table1123457[[#This Row],[b (mm)]]*Table1123457[[#This Row],[h (mm)]]/100</f>
        <v>2225.8062000000004</v>
      </c>
      <c r="AE62" s="160">
        <v>0.93</v>
      </c>
      <c r="AF62" s="160">
        <v>525</v>
      </c>
      <c r="AG62" s="111">
        <f>(1/3-0.21*(MIN(Table1123457[[#This Row],[b (mm)]],AA62)/MAX(Table1123457[[#This Row],[b (mm)]],AA62))*(MIN(Table1123457[[#This Row],[b (mm)]],AA62)^4/(12*MAX(Table1123457[[#This Row],[b (mm)]],AA62)^4)))*MAX(Table1123457[[#This Row],[b (mm)]],AA62)*MIN(Table1123457[[#This Row],[b (mm)]],AA62)^3</f>
        <v>9155881359.2335663</v>
      </c>
      <c r="AH62" s="111">
        <f>Table1123457[[#This Row],[b (mm)]]*AA62^3/12</f>
        <v>2292041884.5</v>
      </c>
      <c r="AI62" s="111">
        <v>2080</v>
      </c>
      <c r="AK62" s="126"/>
    </row>
    <row r="63" spans="1:44" x14ac:dyDescent="0.25">
      <c r="A63" s="243" t="s">
        <v>150</v>
      </c>
      <c r="B63" s="243">
        <v>3</v>
      </c>
      <c r="C63" s="185">
        <v>62</v>
      </c>
      <c r="D63" s="185">
        <f>Table1123457[[#This Row],[a (mm)]]/Table1123457[[#This Row],[d (mm)]]</f>
        <v>3.3876221498371337</v>
      </c>
      <c r="E63" s="244">
        <v>400</v>
      </c>
      <c r="F63" s="137">
        <f>Table1123457[[#This Row],[d (mm)]]</f>
        <v>307</v>
      </c>
      <c r="G63" s="111">
        <f t="shared" si="3"/>
        <v>416000</v>
      </c>
      <c r="H63" s="135">
        <f t="shared" si="0"/>
        <v>6.8914101632369536E-6</v>
      </c>
      <c r="I63" s="135">
        <f>G63/(Table1123457[[#This Row],[b (mm)]]*Z63^2)</f>
        <v>6.2518979244209861E-3</v>
      </c>
      <c r="J63" s="135">
        <f t="shared" si="1"/>
        <v>1.1596002596699384</v>
      </c>
      <c r="K63" s="111">
        <f t="shared" si="2"/>
        <v>1.3913301192285301E-6</v>
      </c>
      <c r="L63" s="111">
        <f>E63/(Table1123457[[#This Row],[b (mm)]]*Z63)</f>
        <v>1.8455121757665796E-3</v>
      </c>
      <c r="M63" s="111">
        <f>Table1123457[[#This Row],[M (KN.mm)]]/(Table1123457[[#This Row],[b (mm)]]*Table1123457[[#This Row],[d (mm)]])</f>
        <v>1.9193326627972429</v>
      </c>
      <c r="N63" s="111">
        <f>Table1123457[[#This Row],[M (KN.mm)]]/(Table1123457[[#This Row],[b (mm)]]*Table1123457[[#This Row],[h (mm)]])</f>
        <v>1.7381567182264117</v>
      </c>
      <c r="O63" s="111">
        <f>Table1123457[[#This Row],[M (KN.mm)]]/(Table1123457[[#This Row],[b (mm)]]*Table1123457[[#This Row],[h (mm)]]*Table1123457[[#This Row],[L(mm)]])</f>
        <v>8.3565226837808255E-4</v>
      </c>
      <c r="P63" s="111">
        <f>Table1123457[[#This Row],[M (KN.mm)]]/(Table1123457[[#This Row],[b (mm)]]*Table1123457[[#This Row],[d (mm)]]*Table1123457[[#This Row],[L(mm)]])</f>
        <v>9.2275608788328978E-4</v>
      </c>
      <c r="Q63" s="111">
        <f>Table1123457[[#This Row],[M (KN.mm)]]/(Table1123457[[#This Row],[b (mm)]]*Table1123457[[#This Row],[h (mm)]]*Table1123457[[#This Row],[L(mm)]]*Table1123457[[#This Row],[fc (Mpa)]])</f>
        <v>2.2524319902374193E-5</v>
      </c>
      <c r="R63" s="111">
        <f>Table1123457[[#This Row],[M (KN.mm)]]/(Table1123457[[#This Row],[b (mm)]]*Table1123457[[#This Row],[h (mm)]]*Table1123457[[#This Row],[L(mm)]]/2)</f>
        <v>1.6713045367561651E-3</v>
      </c>
      <c r="S63" s="111">
        <f>Table1123457[[#This Row],[M (KN.mm)]]/(Table1123457[[#This Row],[a (mm)]]*Table1123457[[#This Row],[b (mm)]]*Table1123457[[#This Row],[h (mm)]]*Table1123457[[#This Row],[L(mm)]]/2)</f>
        <v>1.607023593034774E-6</v>
      </c>
      <c r="T63" s="111">
        <f>G63/($AL$5*AH63*0.001*Table1123457[[#This Row],[pho (%)]])</f>
        <v>7.4101184550934973E-6</v>
      </c>
      <c r="U63" s="111">
        <f>Table1123457[[#This Row],[M (KN.mm)]]/(Table1123457[[#This Row],[b (mm)]]*Table1123457[[#This Row],[d (mm)]]*Table1123457[[#This Row],[pho (%)]])</f>
        <v>2.0637985621475727</v>
      </c>
      <c r="V63" s="111">
        <f>E63*224.8/(2*SQRT(Table1123457[[#This Row],[fc (Mpa)]]*145.037)*Table1123457[[#This Row],[b (mm)]]*Table1123457[[#This Row],[d (mm)]]*(1/25.4)^2)</f>
        <v>1.8244177984448262</v>
      </c>
      <c r="W63" s="111">
        <f>Table1123457[[#This Row],[M (KN.mm)]]/$G$65</f>
        <v>0.8048289738430584</v>
      </c>
      <c r="X63" s="111">
        <f t="shared" si="4"/>
        <v>1.8244177984448262</v>
      </c>
      <c r="Y63" s="111">
        <v>1040</v>
      </c>
      <c r="Z63" s="111">
        <v>307</v>
      </c>
      <c r="AA63" s="111">
        <v>339</v>
      </c>
      <c r="AB63" s="111">
        <v>706</v>
      </c>
      <c r="AC63" s="7">
        <v>37.1</v>
      </c>
      <c r="AD63" s="111">
        <f>Table1123457[[#This Row],[pho (%)]]*Table1123457[[#This Row],[b (mm)]]*Table1123457[[#This Row],[h (mm)]]/100</f>
        <v>2225.8062000000004</v>
      </c>
      <c r="AE63" s="160">
        <v>0.93</v>
      </c>
      <c r="AF63" s="160">
        <v>525</v>
      </c>
      <c r="AG63" s="111">
        <f>(1/3-0.21*(MIN(Table1123457[[#This Row],[b (mm)]],AA63)/MAX(Table1123457[[#This Row],[b (mm)]],AA63))*(MIN(Table1123457[[#This Row],[b (mm)]],AA63)^4/(12*MAX(Table1123457[[#This Row],[b (mm)]],AA63)^4)))*MAX(Table1123457[[#This Row],[b (mm)]],AA63)*MIN(Table1123457[[#This Row],[b (mm)]],AA63)^3</f>
        <v>9155881359.2335663</v>
      </c>
      <c r="AH63" s="111">
        <f>Table1123457[[#This Row],[b (mm)]]*AA63^3/12</f>
        <v>2292041884.5</v>
      </c>
      <c r="AI63" s="111">
        <v>2080</v>
      </c>
      <c r="AK63" s="126"/>
    </row>
    <row r="64" spans="1:44" s="1" customFormat="1" x14ac:dyDescent="0.25">
      <c r="A64" s="243" t="s">
        <v>150</v>
      </c>
      <c r="B64" s="243">
        <v>4</v>
      </c>
      <c r="C64" s="185">
        <v>63</v>
      </c>
      <c r="D64" s="185">
        <f>Table1123457[[#This Row],[a (mm)]]/Table1123457[[#This Row],[d (mm)]]</f>
        <v>3.3876221498371337</v>
      </c>
      <c r="E64" s="244">
        <v>454</v>
      </c>
      <c r="F64" s="137">
        <f>Table1123457[[#This Row],[d (mm)]]</f>
        <v>307</v>
      </c>
      <c r="G64" s="111">
        <f t="shared" si="3"/>
        <v>472160</v>
      </c>
      <c r="H64" s="135">
        <f t="shared" si="0"/>
        <v>7.8217505352739415E-6</v>
      </c>
      <c r="I64" s="135">
        <f>G64/(Table1123457[[#This Row],[b (mm)]]*Z64^2)</f>
        <v>7.0959041442178192E-3</v>
      </c>
      <c r="J64" s="135">
        <f t="shared" si="1"/>
        <v>1.3161462947253799</v>
      </c>
      <c r="K64" s="111">
        <f t="shared" si="2"/>
        <v>1.5791596853243817E-6</v>
      </c>
      <c r="L64" s="111">
        <f>E64/(Table1123457[[#This Row],[b (mm)]]*Z64)</f>
        <v>2.0946563194950679E-3</v>
      </c>
      <c r="M64" s="111">
        <f>Table1123457[[#This Row],[M (KN.mm)]]/(Table1123457[[#This Row],[b (mm)]]*Table1123457[[#This Row],[d (mm)]])</f>
        <v>2.1784425722748706</v>
      </c>
      <c r="N64" s="111">
        <f>Table1123457[[#This Row],[M (KN.mm)]]/(Table1123457[[#This Row],[b (mm)]]*Table1123457[[#This Row],[h (mm)]])</f>
        <v>1.9728078751869771</v>
      </c>
      <c r="O64" s="111">
        <f>Table1123457[[#This Row],[M (KN.mm)]]/(Table1123457[[#This Row],[b (mm)]]*Table1123457[[#This Row],[h (mm)]]*Table1123457[[#This Row],[L(mm)]])</f>
        <v>9.4846532460912366E-4</v>
      </c>
      <c r="P64" s="111">
        <f>Table1123457[[#This Row],[M (KN.mm)]]/(Table1123457[[#This Row],[b (mm)]]*Table1123457[[#This Row],[d (mm)]]*Table1123457[[#This Row],[L(mm)]])</f>
        <v>1.0473281597475339E-3</v>
      </c>
      <c r="Q64" s="111">
        <f>Table1123457[[#This Row],[M (KN.mm)]]/(Table1123457[[#This Row],[b (mm)]]*Table1123457[[#This Row],[h (mm)]]*Table1123457[[#This Row],[L(mm)]]*Table1123457[[#This Row],[fc (Mpa)]])</f>
        <v>2.5565103089194709E-5</v>
      </c>
      <c r="R64" s="111">
        <f>Table1123457[[#This Row],[M (KN.mm)]]/(Table1123457[[#This Row],[b (mm)]]*Table1123457[[#This Row],[h (mm)]]*Table1123457[[#This Row],[L(mm)]]/2)</f>
        <v>1.8969306492182473E-3</v>
      </c>
      <c r="S64" s="111">
        <f>Table1123457[[#This Row],[M (KN.mm)]]/(Table1123457[[#This Row],[a (mm)]]*Table1123457[[#This Row],[b (mm)]]*Table1123457[[#This Row],[h (mm)]]*Table1123457[[#This Row],[L(mm)]]/2)</f>
        <v>1.8239717780944685E-6</v>
      </c>
      <c r="T64" s="111">
        <f>G64/($AL$5*AH64*0.001*Table1123457[[#This Row],[pho (%)]])</f>
        <v>8.4104844465311192E-6</v>
      </c>
      <c r="U64" s="111">
        <f>Table1123457[[#This Row],[M (KN.mm)]]/(Table1123457[[#This Row],[b (mm)]]*Table1123457[[#This Row],[d (mm)]]*Table1123457[[#This Row],[pho (%)]])</f>
        <v>2.3424113680374954</v>
      </c>
      <c r="V64" s="111">
        <f>E64*224.8/(2*SQRT(Table1123457[[#This Row],[fc (Mpa)]]*145.037)*Table1123457[[#This Row],[b (mm)]]*Table1123457[[#This Row],[d (mm)]]*(1/25.4)^2)</f>
        <v>2.0707142012348778</v>
      </c>
      <c r="W64" s="111">
        <f>Table1123457[[#This Row],[M (KN.mm)]]/$G$65</f>
        <v>0.91348088531187122</v>
      </c>
      <c r="X64" s="111">
        <f t="shared" si="4"/>
        <v>2.0707142012348778</v>
      </c>
      <c r="Y64" s="111">
        <v>1040</v>
      </c>
      <c r="Z64" s="111">
        <v>307</v>
      </c>
      <c r="AA64" s="111">
        <v>339</v>
      </c>
      <c r="AB64" s="111">
        <v>706</v>
      </c>
      <c r="AC64" s="7">
        <v>37.1</v>
      </c>
      <c r="AD64" s="111">
        <f>Table1123457[[#This Row],[pho (%)]]*Table1123457[[#This Row],[b (mm)]]*Table1123457[[#This Row],[h (mm)]]/100</f>
        <v>2225.8062000000004</v>
      </c>
      <c r="AE64" s="160">
        <v>0.93</v>
      </c>
      <c r="AF64" s="160">
        <v>525</v>
      </c>
      <c r="AG64" s="111">
        <f>(1/3-0.21*(MIN(Table1123457[[#This Row],[b (mm)]],AA64)/MAX(Table1123457[[#This Row],[b (mm)]],AA64))*(MIN(Table1123457[[#This Row],[b (mm)]],AA64)^4/(12*MAX(Table1123457[[#This Row],[b (mm)]],AA64)^4)))*MAX(Table1123457[[#This Row],[b (mm)]],AA64)*MIN(Table1123457[[#This Row],[b (mm)]],AA64)^3</f>
        <v>9155881359.2335663</v>
      </c>
      <c r="AH64" s="111">
        <f>Table1123457[[#This Row],[b (mm)]]*AA64^3/12</f>
        <v>2292041884.5</v>
      </c>
      <c r="AI64" s="111">
        <v>2080</v>
      </c>
      <c r="AJ64"/>
    </row>
    <row r="65" spans="1:39" s="1" customFormat="1" x14ac:dyDescent="0.25">
      <c r="A65" s="243" t="s">
        <v>150</v>
      </c>
      <c r="B65" s="243" t="s">
        <v>141</v>
      </c>
      <c r="C65" s="185">
        <v>64</v>
      </c>
      <c r="D65" s="185">
        <f>Table1123457[[#This Row],[a (mm)]]/Table1123457[[#This Row],[d (mm)]]</f>
        <v>3.3876221498371337</v>
      </c>
      <c r="E65" s="244">
        <v>497</v>
      </c>
      <c r="F65" s="137">
        <f>Table1123457[[#This Row],[d (mm)]]</f>
        <v>307</v>
      </c>
      <c r="G65" s="111">
        <f t="shared" si="3"/>
        <v>516880</v>
      </c>
      <c r="H65" s="135">
        <f t="shared" si="0"/>
        <v>8.5625771278219139E-6</v>
      </c>
      <c r="I65" s="135">
        <f>G65/(Table1123457[[#This Row],[b (mm)]]*Z65^2)</f>
        <v>7.7679831710930755E-3</v>
      </c>
      <c r="J65" s="135">
        <f t="shared" si="1"/>
        <v>1.4408033226398984</v>
      </c>
      <c r="K65" s="111">
        <f t="shared" si="2"/>
        <v>1.7287276731414488E-6</v>
      </c>
      <c r="L65" s="111">
        <f>E65/(Table1123457[[#This Row],[b (mm)]]*Z65)</f>
        <v>2.2930488783899751E-3</v>
      </c>
      <c r="M65" s="111">
        <f>Table1123457[[#This Row],[M (KN.mm)]]/(Table1123457[[#This Row],[b (mm)]]*Table1123457[[#This Row],[d (mm)]])</f>
        <v>2.3847708335255744</v>
      </c>
      <c r="N65" s="111">
        <f>Table1123457[[#This Row],[M (KN.mm)]]/(Table1123457[[#This Row],[b (mm)]]*Table1123457[[#This Row],[h (mm)]])</f>
        <v>2.1596597223963165</v>
      </c>
      <c r="O65" s="111">
        <f>Table1123457[[#This Row],[M (KN.mm)]]/(Table1123457[[#This Row],[b (mm)]]*Table1123457[[#This Row],[h (mm)]]*Table1123457[[#This Row],[L(mm)]])</f>
        <v>1.0382979434597674E-3</v>
      </c>
      <c r="P65" s="111">
        <f>Table1123457[[#This Row],[M (KN.mm)]]/(Table1123457[[#This Row],[b (mm)]]*Table1123457[[#This Row],[d (mm)]]*Table1123457[[#This Row],[L(mm)]])</f>
        <v>1.1465244391949876E-3</v>
      </c>
      <c r="Q65" s="111">
        <f>Table1123457[[#This Row],[M (KN.mm)]]/(Table1123457[[#This Row],[b (mm)]]*Table1123457[[#This Row],[h (mm)]]*Table1123457[[#This Row],[L(mm)]]*Table1123457[[#This Row],[fc (Mpa)]])</f>
        <v>2.7986467478699932E-5</v>
      </c>
      <c r="R65" s="111">
        <f>Table1123457[[#This Row],[M (KN.mm)]]/(Table1123457[[#This Row],[b (mm)]]*Table1123457[[#This Row],[h (mm)]]*Table1123457[[#This Row],[L(mm)]]/2)</f>
        <v>2.0765958869195349E-3</v>
      </c>
      <c r="S65" s="111">
        <f>Table1123457[[#This Row],[M (KN.mm)]]/(Table1123457[[#This Row],[a (mm)]]*Table1123457[[#This Row],[b (mm)]]*Table1123457[[#This Row],[h (mm)]]*Table1123457[[#This Row],[L(mm)]]/2)</f>
        <v>1.9967268143457067E-6</v>
      </c>
      <c r="T65" s="111">
        <f>G65/($AL$5*AH65*0.001*Table1123457[[#This Row],[pho (%)]])</f>
        <v>9.2070721804536715E-6</v>
      </c>
      <c r="U65" s="111">
        <f>Table1123457[[#This Row],[M (KN.mm)]]/(Table1123457[[#This Row],[b (mm)]]*Table1123457[[#This Row],[d (mm)]]*Table1123457[[#This Row],[pho (%)]])</f>
        <v>2.5642697134683594</v>
      </c>
      <c r="V65" s="111">
        <f>E65*224.8/(2*SQRT(Table1123457[[#This Row],[fc (Mpa)]]*145.037)*Table1123457[[#This Row],[b (mm)]]*Table1123457[[#This Row],[d (mm)]]*(1/25.4)^2)</f>
        <v>2.2668391145676967</v>
      </c>
      <c r="W65" s="111">
        <f>Table1123457[[#This Row],[M (KN.mm)]]/$G$65</f>
        <v>1</v>
      </c>
      <c r="X65" s="111">
        <f t="shared" si="4"/>
        <v>2.2668391145676967</v>
      </c>
      <c r="Y65" s="111">
        <v>1040</v>
      </c>
      <c r="Z65" s="111">
        <v>307</v>
      </c>
      <c r="AA65" s="111">
        <v>339</v>
      </c>
      <c r="AB65" s="111">
        <v>706</v>
      </c>
      <c r="AC65" s="7">
        <v>37.1</v>
      </c>
      <c r="AD65" s="111">
        <f>Table1123457[[#This Row],[pho (%)]]*Table1123457[[#This Row],[b (mm)]]*Table1123457[[#This Row],[h (mm)]]/100</f>
        <v>2225.8062000000004</v>
      </c>
      <c r="AE65" s="160">
        <v>0.93</v>
      </c>
      <c r="AF65" s="160">
        <v>525</v>
      </c>
      <c r="AG65" s="111">
        <f>(1/3-0.21*(MIN(Table1123457[[#This Row],[b (mm)]],AA65)/MAX(Table1123457[[#This Row],[b (mm)]],AA65))*(MIN(Table1123457[[#This Row],[b (mm)]],AA65)^4/(12*MAX(Table1123457[[#This Row],[b (mm)]],AA65)^4)))*MAX(Table1123457[[#This Row],[b (mm)]],AA65)*MIN(Table1123457[[#This Row],[b (mm)]],AA65)^3</f>
        <v>9155881359.2335663</v>
      </c>
      <c r="AH65" s="111">
        <f>Table1123457[[#This Row],[b (mm)]]*AA65^3/12</f>
        <v>2292041884.5</v>
      </c>
      <c r="AI65" s="111">
        <v>2080</v>
      </c>
      <c r="AJ65"/>
    </row>
    <row r="66" spans="1:39" s="1" customFormat="1" x14ac:dyDescent="0.25">
      <c r="A66" s="164" t="s">
        <v>151</v>
      </c>
      <c r="B66" s="164">
        <v>2</v>
      </c>
      <c r="C66" s="185">
        <v>65</v>
      </c>
      <c r="D66" s="185">
        <f>Table1123457[[#This Row],[a (mm)]]/Table1123457[[#This Row],[d (mm)]]</f>
        <v>2.8928571428571428</v>
      </c>
      <c r="E66" s="239">
        <v>225</v>
      </c>
      <c r="F66" s="137">
        <f>Table1123457[[#This Row],[d (mm)]]</f>
        <v>1400</v>
      </c>
      <c r="G66" s="111">
        <f t="shared" si="3"/>
        <v>911250</v>
      </c>
      <c r="H66" s="135">
        <f t="shared" si="0"/>
        <v>4.3127947459127122E-7</v>
      </c>
      <c r="I66" s="135">
        <f>G66/(Table1123457[[#This Row],[b (mm)]]*Z66^2)</f>
        <v>1.5497448979591836E-3</v>
      </c>
      <c r="J66" s="135">
        <f t="shared" ref="J66:J77" si="5">G66/(AD66*AF66*Z66*0.001)</f>
        <v>0.3375661066958946</v>
      </c>
      <c r="K66" s="111">
        <f t="shared" ref="K66:K89" si="6">E66/($AL$4*AG66*0.001)</f>
        <v>5.3979179161700577E-7</v>
      </c>
      <c r="L66" s="111">
        <f>E66/(Table1123457[[#This Row],[b (mm)]]*Z66)</f>
        <v>5.3571428571428574E-4</v>
      </c>
      <c r="M66" s="111">
        <f>Table1123457[[#This Row],[M (KN.mm)]]/(Table1123457[[#This Row],[b (mm)]]*Table1123457[[#This Row],[d (mm)]])</f>
        <v>2.1696428571428572</v>
      </c>
      <c r="N66" s="111">
        <f>Table1123457[[#This Row],[M (KN.mm)]]/(Table1123457[[#This Row],[b (mm)]]*Table1123457[[#This Row],[h (mm)]])</f>
        <v>2.0593220338983049</v>
      </c>
      <c r="O66" s="111">
        <f>Table1123457[[#This Row],[M (KN.mm)]]/(Table1123457[[#This Row],[b (mm)]]*Table1123457[[#This Row],[h (mm)]]*Table1123457[[#This Row],[L(mm)]])</f>
        <v>2.5423728813559322E-4</v>
      </c>
      <c r="P66" s="111">
        <f>Table1123457[[#This Row],[M (KN.mm)]]/(Table1123457[[#This Row],[b (mm)]]*Table1123457[[#This Row],[d (mm)]]*Table1123457[[#This Row],[L(mm)]])</f>
        <v>2.6785714285714287E-4</v>
      </c>
      <c r="Q66" s="111">
        <f>Table1123457[[#This Row],[M (KN.mm)]]/(Table1123457[[#This Row],[b (mm)]]*Table1123457[[#This Row],[h (mm)]]*Table1123457[[#This Row],[L(mm)]]*Table1123457[[#This Row],[fc (Mpa)]])</f>
        <v>6.6207627118644066E-6</v>
      </c>
      <c r="R66" s="111">
        <f>Table1123457[[#This Row],[M (KN.mm)]]/(Table1123457[[#This Row],[b (mm)]]*Table1123457[[#This Row],[h (mm)]]*Table1123457[[#This Row],[L(mm)]]/2)</f>
        <v>5.0847457627118645E-4</v>
      </c>
      <c r="S66" s="111">
        <f>Table1123457[[#This Row],[M (KN.mm)]]/(Table1123457[[#This Row],[a (mm)]]*Table1123457[[#This Row],[b (mm)]]*Table1123457[[#This Row],[h (mm)]]*Table1123457[[#This Row],[L(mm)]]/2)</f>
        <v>1.2554927809165096E-7</v>
      </c>
      <c r="T66" s="111">
        <f>G66/($AL$5*AH66*0.001*Table1123457[[#This Row],[pho (%)]])</f>
        <v>5.1961382480876054E-7</v>
      </c>
      <c r="U66" s="111">
        <f>Table1123457[[#This Row],[M (KN.mm)]]/(Table1123457[[#This Row],[b (mm)]]*Table1123457[[#This Row],[d (mm)]]*Table1123457[[#This Row],[pho (%)]])</f>
        <v>2.6140275387263339</v>
      </c>
      <c r="V66" s="111">
        <f>E66*224.8/(2*SQRT(Table1123457[[#This Row],[fc (Mpa)]]*145.037)*Table1123457[[#This Row],[b (mm)]]*Table1123457[[#This Row],[d (mm)]]*(1/25.4)^2)</f>
        <v>0.52054940687331208</v>
      </c>
      <c r="W66" s="111">
        <f>Table1123457[[#This Row],[M (KN.mm)]]/$G$71</f>
        <v>0.45090180360721444</v>
      </c>
      <c r="X66" s="111">
        <f t="shared" si="4"/>
        <v>0.52054940687331208</v>
      </c>
      <c r="Y66" s="111">
        <v>4050</v>
      </c>
      <c r="Z66" s="111">
        <v>1400</v>
      </c>
      <c r="AA66" s="111">
        <v>1475</v>
      </c>
      <c r="AB66" s="111">
        <v>300</v>
      </c>
      <c r="AC66" s="7">
        <v>38.4</v>
      </c>
      <c r="AD66" s="111">
        <f>Table1123457[[#This Row],[pho (%)]]*Table1123457[[#This Row],[b (mm)]]*Table1123457[[#This Row],[h (mm)]]/100</f>
        <v>3672.75</v>
      </c>
      <c r="AE66" s="160">
        <v>0.83</v>
      </c>
      <c r="AF66" s="160">
        <v>525</v>
      </c>
      <c r="AG66" s="111">
        <f>(1/3-0.21*(MIN(Table1123457[[#This Row],[b (mm)]],AA66)/MAX(Table1123457[[#This Row],[b (mm)]],AA66))*(MIN(Table1123457[[#This Row],[b (mm)]],AA66)^4/(12*MAX(Table1123457[[#This Row],[b (mm)]],AA66)^4)))*MAX(Table1123457[[#This Row],[b (mm)]],AA66)*MIN(Table1123457[[#This Row],[b (mm)]],AA66)^3</f>
        <v>13274757428.370747</v>
      </c>
      <c r="AH66" s="111">
        <f>Table1123457[[#This Row],[b (mm)]]*AA66^3/12</f>
        <v>80226171875</v>
      </c>
      <c r="AI66" s="111">
        <v>8100</v>
      </c>
      <c r="AJ66"/>
    </row>
    <row r="67" spans="1:39" x14ac:dyDescent="0.25">
      <c r="A67" s="164" t="s">
        <v>151</v>
      </c>
      <c r="B67" s="164">
        <v>3</v>
      </c>
      <c r="C67" s="185">
        <v>66</v>
      </c>
      <c r="D67" s="185">
        <f>Table1123457[[#This Row],[a (mm)]]/Table1123457[[#This Row],[d (mm)]]</f>
        <v>2.8928571428571428</v>
      </c>
      <c r="E67" s="239">
        <v>350</v>
      </c>
      <c r="F67" s="137">
        <f>Table1123457[[#This Row],[d (mm)]]</f>
        <v>1400</v>
      </c>
      <c r="G67" s="111">
        <f t="shared" ref="G67:G89" si="7">E67*Y67</f>
        <v>1417500</v>
      </c>
      <c r="H67" s="135">
        <f t="shared" ref="H67:H89" si="8">G67/($AL$5*AH67*0.001)</f>
        <v>6.7087918269753299E-7</v>
      </c>
      <c r="I67" s="135">
        <f>G67/(Table1123457[[#This Row],[b (mm)]]*Z67^2)</f>
        <v>2.4107142857142856E-3</v>
      </c>
      <c r="J67" s="135">
        <f t="shared" si="5"/>
        <v>0.52510283263805824</v>
      </c>
      <c r="K67" s="111">
        <f t="shared" si="6"/>
        <v>8.3967612029312006E-7</v>
      </c>
      <c r="L67" s="111">
        <f>E67/(Table1123457[[#This Row],[b (mm)]]*Z67)</f>
        <v>8.3333333333333339E-4</v>
      </c>
      <c r="M67" s="111">
        <f>Table1123457[[#This Row],[M (KN.mm)]]/(Table1123457[[#This Row],[b (mm)]]*Table1123457[[#This Row],[d (mm)]])</f>
        <v>3.375</v>
      </c>
      <c r="N67" s="111">
        <f>Table1123457[[#This Row],[M (KN.mm)]]/(Table1123457[[#This Row],[b (mm)]]*Table1123457[[#This Row],[h (mm)]])</f>
        <v>3.2033898305084745</v>
      </c>
      <c r="O67" s="111">
        <f>Table1123457[[#This Row],[M (KN.mm)]]/(Table1123457[[#This Row],[b (mm)]]*Table1123457[[#This Row],[h (mm)]]*Table1123457[[#This Row],[L(mm)]])</f>
        <v>3.9548022598870055E-4</v>
      </c>
      <c r="P67" s="111">
        <f>Table1123457[[#This Row],[M (KN.mm)]]/(Table1123457[[#This Row],[b (mm)]]*Table1123457[[#This Row],[d (mm)]]*Table1123457[[#This Row],[L(mm)]])</f>
        <v>4.1666666666666669E-4</v>
      </c>
      <c r="Q67" s="111">
        <f>Table1123457[[#This Row],[M (KN.mm)]]/(Table1123457[[#This Row],[b (mm)]]*Table1123457[[#This Row],[h (mm)]]*Table1123457[[#This Row],[L(mm)]]*Table1123457[[#This Row],[fc (Mpa)]])</f>
        <v>1.0298964218455744E-5</v>
      </c>
      <c r="R67" s="111">
        <f>Table1123457[[#This Row],[M (KN.mm)]]/(Table1123457[[#This Row],[b (mm)]]*Table1123457[[#This Row],[h (mm)]]*Table1123457[[#This Row],[L(mm)]]/2)</f>
        <v>7.9096045197740109E-4</v>
      </c>
      <c r="S67" s="111">
        <f>Table1123457[[#This Row],[M (KN.mm)]]/(Table1123457[[#This Row],[a (mm)]]*Table1123457[[#This Row],[b (mm)]]*Table1123457[[#This Row],[h (mm)]]*Table1123457[[#This Row],[L(mm)]]/2)</f>
        <v>1.9529887703145707E-7</v>
      </c>
      <c r="T67" s="111">
        <f>G67/($AL$5*AH67*0.001*Table1123457[[#This Row],[pho (%)]])</f>
        <v>8.0828817192473861E-7</v>
      </c>
      <c r="U67" s="111">
        <f>Table1123457[[#This Row],[M (KN.mm)]]/(Table1123457[[#This Row],[b (mm)]]*Table1123457[[#This Row],[d (mm)]]*Table1123457[[#This Row],[pho (%)]])</f>
        <v>4.0662650602409638</v>
      </c>
      <c r="V67" s="111">
        <f>E67*224.8/(2*SQRT(Table1123457[[#This Row],[fc (Mpa)]]*145.037)*Table1123457[[#This Row],[b (mm)]]*Table1123457[[#This Row],[d (mm)]]*(1/25.4)^2)</f>
        <v>0.80974352180292997</v>
      </c>
      <c r="W67" s="111">
        <f>Table1123457[[#This Row],[M (KN.mm)]]/$G$71</f>
        <v>0.70140280561122248</v>
      </c>
      <c r="X67" s="111">
        <f t="shared" ref="X67:X130" si="9">V67</f>
        <v>0.80974352180292997</v>
      </c>
      <c r="Y67" s="111">
        <v>4050</v>
      </c>
      <c r="Z67" s="111">
        <v>1400</v>
      </c>
      <c r="AA67" s="111">
        <v>1475</v>
      </c>
      <c r="AB67" s="111">
        <v>300</v>
      </c>
      <c r="AC67" s="7">
        <v>38.4</v>
      </c>
      <c r="AD67" s="111">
        <f>Table1123457[[#This Row],[pho (%)]]*Table1123457[[#This Row],[b (mm)]]*Table1123457[[#This Row],[h (mm)]]/100</f>
        <v>3672.75</v>
      </c>
      <c r="AE67" s="160">
        <v>0.83</v>
      </c>
      <c r="AF67" s="160">
        <v>525</v>
      </c>
      <c r="AG67" s="111">
        <f>(1/3-0.21*(MIN(Table1123457[[#This Row],[b (mm)]],AA67)/MAX(Table1123457[[#This Row],[b (mm)]],AA67))*(MIN(Table1123457[[#This Row],[b (mm)]],AA67)^4/(12*MAX(Table1123457[[#This Row],[b (mm)]],AA67)^4)))*MAX(Table1123457[[#This Row],[b (mm)]],AA67)*MIN(Table1123457[[#This Row],[b (mm)]],AA67)^3</f>
        <v>13274757428.370747</v>
      </c>
      <c r="AH67" s="111">
        <f>Table1123457[[#This Row],[b (mm)]]*AA67^3/12</f>
        <v>80226171875</v>
      </c>
      <c r="AI67" s="111">
        <v>8100</v>
      </c>
      <c r="AK67" s="126"/>
    </row>
    <row r="68" spans="1:39" x14ac:dyDescent="0.25">
      <c r="A68" s="164" t="s">
        <v>151</v>
      </c>
      <c r="B68" s="164">
        <v>4</v>
      </c>
      <c r="C68" s="185">
        <v>67</v>
      </c>
      <c r="D68" s="185">
        <f>Table1123457[[#This Row],[a (mm)]]/Table1123457[[#This Row],[d (mm)]]</f>
        <v>2.8928571428571428</v>
      </c>
      <c r="E68" s="239">
        <v>388</v>
      </c>
      <c r="F68" s="137">
        <f>Table1123457[[#This Row],[d (mm)]]</f>
        <v>1400</v>
      </c>
      <c r="G68" s="111">
        <f t="shared" si="7"/>
        <v>1571400</v>
      </c>
      <c r="H68" s="135">
        <f t="shared" si="8"/>
        <v>7.4371749396183651E-7</v>
      </c>
      <c r="I68" s="135">
        <f>G68/(Table1123457[[#This Row],[b (mm)]]*Z68^2)</f>
        <v>2.6724489795918369E-3</v>
      </c>
      <c r="J68" s="135">
        <f t="shared" si="5"/>
        <v>0.582113997324476</v>
      </c>
      <c r="K68" s="111">
        <f t="shared" si="6"/>
        <v>9.3084095621065886E-7</v>
      </c>
      <c r="L68" s="111">
        <f>E68/(Table1123457[[#This Row],[b (mm)]]*Z68)</f>
        <v>9.238095238095238E-4</v>
      </c>
      <c r="M68" s="111">
        <f>Table1123457[[#This Row],[M (KN.mm)]]/(Table1123457[[#This Row],[b (mm)]]*Table1123457[[#This Row],[d (mm)]])</f>
        <v>3.7414285714285715</v>
      </c>
      <c r="N68" s="111">
        <f>Table1123457[[#This Row],[M (KN.mm)]]/(Table1123457[[#This Row],[b (mm)]]*Table1123457[[#This Row],[h (mm)]])</f>
        <v>3.5511864406779661</v>
      </c>
      <c r="O68" s="111">
        <f>Table1123457[[#This Row],[M (KN.mm)]]/(Table1123457[[#This Row],[b (mm)]]*Table1123457[[#This Row],[h (mm)]]*Table1123457[[#This Row],[L(mm)]])</f>
        <v>4.3841807909604519E-4</v>
      </c>
      <c r="P68" s="111">
        <f>Table1123457[[#This Row],[M (KN.mm)]]/(Table1123457[[#This Row],[b (mm)]]*Table1123457[[#This Row],[d (mm)]]*Table1123457[[#This Row],[L(mm)]])</f>
        <v>4.619047619047619E-4</v>
      </c>
      <c r="Q68" s="111">
        <f>Table1123457[[#This Row],[M (KN.mm)]]/(Table1123457[[#This Row],[b (mm)]]*Table1123457[[#This Row],[h (mm)]]*Table1123457[[#This Row],[L(mm)]]*Table1123457[[#This Row],[fc (Mpa)]])</f>
        <v>1.141713747645951E-5</v>
      </c>
      <c r="R68" s="111">
        <f>Table1123457[[#This Row],[M (KN.mm)]]/(Table1123457[[#This Row],[b (mm)]]*Table1123457[[#This Row],[h (mm)]]*Table1123457[[#This Row],[L(mm)]]/2)</f>
        <v>8.7683615819209037E-4</v>
      </c>
      <c r="S68" s="111">
        <f>Table1123457[[#This Row],[M (KN.mm)]]/(Table1123457[[#This Row],[a (mm)]]*Table1123457[[#This Row],[b (mm)]]*Table1123457[[#This Row],[h (mm)]]*Table1123457[[#This Row],[L(mm)]]/2)</f>
        <v>2.1650275510915812E-7</v>
      </c>
      <c r="T68" s="111">
        <f>G68/($AL$5*AH68*0.001*Table1123457[[#This Row],[pho (%)]])</f>
        <v>8.9604517344799588E-7</v>
      </c>
      <c r="U68" s="111">
        <f>Table1123457[[#This Row],[M (KN.mm)]]/(Table1123457[[#This Row],[b (mm)]]*Table1123457[[#This Row],[d (mm)]]*Table1123457[[#This Row],[pho (%)]])</f>
        <v>4.5077452667814111</v>
      </c>
      <c r="V68" s="111">
        <f>E68*224.8/(2*SQRT(Table1123457[[#This Row],[fc (Mpa)]]*145.037)*Table1123457[[#This Row],[b (mm)]]*Table1123457[[#This Row],[d (mm)]]*(1/25.4)^2)</f>
        <v>0.89765853274153384</v>
      </c>
      <c r="W68" s="111">
        <f>Table1123457[[#This Row],[M (KN.mm)]]/$G$71</f>
        <v>0.77755511022044088</v>
      </c>
      <c r="X68" s="111">
        <f t="shared" si="9"/>
        <v>0.89765853274153384</v>
      </c>
      <c r="Y68" s="111">
        <v>4050</v>
      </c>
      <c r="Z68" s="111">
        <v>1400</v>
      </c>
      <c r="AA68" s="111">
        <v>1475</v>
      </c>
      <c r="AB68" s="111">
        <v>300</v>
      </c>
      <c r="AC68" s="7">
        <v>38.4</v>
      </c>
      <c r="AD68" s="111">
        <f>Table1123457[[#This Row],[pho (%)]]*Table1123457[[#This Row],[b (mm)]]*Table1123457[[#This Row],[h (mm)]]/100</f>
        <v>3672.75</v>
      </c>
      <c r="AE68" s="160">
        <v>0.83</v>
      </c>
      <c r="AF68" s="160">
        <v>525</v>
      </c>
      <c r="AG68" s="111">
        <f>(1/3-0.21*(MIN(Table1123457[[#This Row],[b (mm)]],AA68)/MAX(Table1123457[[#This Row],[b (mm)]],AA68))*(MIN(Table1123457[[#This Row],[b (mm)]],AA68)^4/(12*MAX(Table1123457[[#This Row],[b (mm)]],AA68)^4)))*MAX(Table1123457[[#This Row],[b (mm)]],AA68)*MIN(Table1123457[[#This Row],[b (mm)]],AA68)^3</f>
        <v>13274757428.370747</v>
      </c>
      <c r="AH68" s="111">
        <f>Table1123457[[#This Row],[b (mm)]]*AA68^3/12</f>
        <v>80226171875</v>
      </c>
      <c r="AI68" s="111">
        <v>8100</v>
      </c>
      <c r="AK68" s="126"/>
    </row>
    <row r="69" spans="1:39" x14ac:dyDescent="0.25">
      <c r="A69" s="164" t="s">
        <v>151</v>
      </c>
      <c r="B69" s="164">
        <v>5</v>
      </c>
      <c r="C69" s="185">
        <v>68</v>
      </c>
      <c r="D69" s="185">
        <f>Table1123457[[#This Row],[a (mm)]]/Table1123457[[#This Row],[d (mm)]]</f>
        <v>2.8928571428571428</v>
      </c>
      <c r="E69" s="239">
        <v>430</v>
      </c>
      <c r="F69" s="137">
        <f>Table1123457[[#This Row],[d (mm)]]</f>
        <v>1400</v>
      </c>
      <c r="G69" s="111">
        <f t="shared" si="7"/>
        <v>1741500</v>
      </c>
      <c r="H69" s="135">
        <f t="shared" si="8"/>
        <v>8.2422299588554051E-7</v>
      </c>
      <c r="I69" s="135">
        <f>G69/(Table1123457[[#This Row],[b (mm)]]*Z69^2)</f>
        <v>2.9617346938775511E-3</v>
      </c>
      <c r="J69" s="135">
        <f t="shared" si="5"/>
        <v>0.64512633724104307</v>
      </c>
      <c r="K69" s="111">
        <f t="shared" si="6"/>
        <v>1.0316020906458331E-6</v>
      </c>
      <c r="L69" s="111">
        <f>E69/(Table1123457[[#This Row],[b (mm)]]*Z69)</f>
        <v>1.0238095238095238E-3</v>
      </c>
      <c r="M69" s="111">
        <f>Table1123457[[#This Row],[M (KN.mm)]]/(Table1123457[[#This Row],[b (mm)]]*Table1123457[[#This Row],[d (mm)]])</f>
        <v>4.1464285714285714</v>
      </c>
      <c r="N69" s="111">
        <f>Table1123457[[#This Row],[M (KN.mm)]]/(Table1123457[[#This Row],[b (mm)]]*Table1123457[[#This Row],[h (mm)]])</f>
        <v>3.935593220338983</v>
      </c>
      <c r="O69" s="111">
        <f>Table1123457[[#This Row],[M (KN.mm)]]/(Table1123457[[#This Row],[b (mm)]]*Table1123457[[#This Row],[h (mm)]]*Table1123457[[#This Row],[L(mm)]])</f>
        <v>4.8587570621468925E-4</v>
      </c>
      <c r="P69" s="111">
        <f>Table1123457[[#This Row],[M (KN.mm)]]/(Table1123457[[#This Row],[b (mm)]]*Table1123457[[#This Row],[d (mm)]]*Table1123457[[#This Row],[L(mm)]])</f>
        <v>5.1190476190476192E-4</v>
      </c>
      <c r="Q69" s="111">
        <f>Table1123457[[#This Row],[M (KN.mm)]]/(Table1123457[[#This Row],[b (mm)]]*Table1123457[[#This Row],[h (mm)]]*Table1123457[[#This Row],[L(mm)]]*Table1123457[[#This Row],[fc (Mpa)]])</f>
        <v>1.26530131826742E-5</v>
      </c>
      <c r="R69" s="111">
        <f>Table1123457[[#This Row],[M (KN.mm)]]/(Table1123457[[#This Row],[b (mm)]]*Table1123457[[#This Row],[h (mm)]]*Table1123457[[#This Row],[L(mm)]]/2)</f>
        <v>9.7175141242937849E-4</v>
      </c>
      <c r="S69" s="111">
        <f>Table1123457[[#This Row],[M (KN.mm)]]/(Table1123457[[#This Row],[a (mm)]]*Table1123457[[#This Row],[b (mm)]]*Table1123457[[#This Row],[h (mm)]]*Table1123457[[#This Row],[L(mm)]]/2)</f>
        <v>2.3993862035293299E-7</v>
      </c>
      <c r="T69" s="111">
        <f>G69/($AL$5*AH69*0.001*Table1123457[[#This Row],[pho (%)]])</f>
        <v>9.930397540789645E-7</v>
      </c>
      <c r="U69" s="111">
        <f>Table1123457[[#This Row],[M (KN.mm)]]/(Table1123457[[#This Row],[b (mm)]]*Table1123457[[#This Row],[d (mm)]]*Table1123457[[#This Row],[pho (%)]])</f>
        <v>4.9956970740103266</v>
      </c>
      <c r="V69" s="111">
        <f>E69*224.8/(2*SQRT(Table1123457[[#This Row],[fc (Mpa)]]*145.037)*Table1123457[[#This Row],[b (mm)]]*Table1123457[[#This Row],[d (mm)]]*(1/25.4)^2)</f>
        <v>0.99482775535788537</v>
      </c>
      <c r="W69" s="111">
        <f>Table1123457[[#This Row],[M (KN.mm)]]/$G$71</f>
        <v>0.86172344689378755</v>
      </c>
      <c r="X69" s="111">
        <f t="shared" si="9"/>
        <v>0.99482775535788537</v>
      </c>
      <c r="Y69" s="111">
        <v>4050</v>
      </c>
      <c r="Z69" s="111">
        <v>1400</v>
      </c>
      <c r="AA69" s="111">
        <v>1475</v>
      </c>
      <c r="AB69" s="111">
        <v>300</v>
      </c>
      <c r="AC69" s="7">
        <v>38.4</v>
      </c>
      <c r="AD69" s="111">
        <f>Table1123457[[#This Row],[pho (%)]]*Table1123457[[#This Row],[b (mm)]]*Table1123457[[#This Row],[h (mm)]]/100</f>
        <v>3672.75</v>
      </c>
      <c r="AE69" s="160">
        <v>0.83</v>
      </c>
      <c r="AF69" s="160">
        <v>525</v>
      </c>
      <c r="AG69" s="111">
        <f>(1/3-0.21*(MIN(Table1123457[[#This Row],[b (mm)]],AA69)/MAX(Table1123457[[#This Row],[b (mm)]],AA69))*(MIN(Table1123457[[#This Row],[b (mm)]],AA69)^4/(12*MAX(Table1123457[[#This Row],[b (mm)]],AA69)^4)))*MAX(Table1123457[[#This Row],[b (mm)]],AA69)*MIN(Table1123457[[#This Row],[b (mm)]],AA69)^3</f>
        <v>13274757428.370747</v>
      </c>
      <c r="AH69" s="111">
        <f>Table1123457[[#This Row],[b (mm)]]*AA69^3/12</f>
        <v>80226171875</v>
      </c>
      <c r="AI69" s="111">
        <v>8100</v>
      </c>
      <c r="AK69" s="126"/>
    </row>
    <row r="70" spans="1:39" x14ac:dyDescent="0.25">
      <c r="A70" s="164" t="s">
        <v>151</v>
      </c>
      <c r="B70" s="164">
        <v>6</v>
      </c>
      <c r="C70" s="185">
        <v>69</v>
      </c>
      <c r="D70" s="185">
        <f>Table1123457[[#This Row],[a (mm)]]/Table1123457[[#This Row],[d (mm)]]</f>
        <v>2.8928571428571428</v>
      </c>
      <c r="E70" s="239">
        <v>475</v>
      </c>
      <c r="F70" s="137">
        <f>Table1123457[[#This Row],[d (mm)]]</f>
        <v>1400</v>
      </c>
      <c r="G70" s="111">
        <f t="shared" si="7"/>
        <v>1923750</v>
      </c>
      <c r="H70" s="135">
        <f t="shared" si="8"/>
        <v>9.1047889080379476E-7</v>
      </c>
      <c r="I70" s="135">
        <f>G70/(Table1123457[[#This Row],[b (mm)]]*Z70^2)</f>
        <v>3.271683673469388E-3</v>
      </c>
      <c r="J70" s="135">
        <f t="shared" si="5"/>
        <v>0.71263955858022199</v>
      </c>
      <c r="K70" s="111">
        <f t="shared" si="6"/>
        <v>1.1395604489692343E-6</v>
      </c>
      <c r="L70" s="111">
        <f>E70/(Table1123457[[#This Row],[b (mm)]]*Z70)</f>
        <v>1.1309523809523809E-3</v>
      </c>
      <c r="M70" s="111">
        <f>Table1123457[[#This Row],[M (KN.mm)]]/(Table1123457[[#This Row],[b (mm)]]*Table1123457[[#This Row],[d (mm)]])</f>
        <v>4.5803571428571432</v>
      </c>
      <c r="N70" s="111">
        <f>Table1123457[[#This Row],[M (KN.mm)]]/(Table1123457[[#This Row],[b (mm)]]*Table1123457[[#This Row],[h (mm)]])</f>
        <v>4.3474576271186445</v>
      </c>
      <c r="O70" s="111">
        <f>Table1123457[[#This Row],[M (KN.mm)]]/(Table1123457[[#This Row],[b (mm)]]*Table1123457[[#This Row],[h (mm)]]*Table1123457[[#This Row],[L(mm)]])</f>
        <v>5.3672316384180787E-4</v>
      </c>
      <c r="P70" s="111">
        <f>Table1123457[[#This Row],[M (KN.mm)]]/(Table1123457[[#This Row],[b (mm)]]*Table1123457[[#This Row],[d (mm)]]*Table1123457[[#This Row],[L(mm)]])</f>
        <v>5.6547619047619046E-4</v>
      </c>
      <c r="Q70" s="111">
        <f>Table1123457[[#This Row],[M (KN.mm)]]/(Table1123457[[#This Row],[b (mm)]]*Table1123457[[#This Row],[h (mm)]]*Table1123457[[#This Row],[L(mm)]]*Table1123457[[#This Row],[fc (Mpa)]])</f>
        <v>1.397716572504708E-5</v>
      </c>
      <c r="R70" s="111">
        <f>Table1123457[[#This Row],[M (KN.mm)]]/(Table1123457[[#This Row],[b (mm)]]*Table1123457[[#This Row],[h (mm)]]*Table1123457[[#This Row],[L(mm)]]/2)</f>
        <v>1.0734463276836157E-3</v>
      </c>
      <c r="S70" s="111">
        <f>Table1123457[[#This Row],[M (KN.mm)]]/(Table1123457[[#This Row],[a (mm)]]*Table1123457[[#This Row],[b (mm)]]*Table1123457[[#This Row],[h (mm)]]*Table1123457[[#This Row],[L(mm)]]/2)</f>
        <v>2.6504847597126317E-7</v>
      </c>
      <c r="T70" s="111">
        <f>G70/($AL$5*AH70*0.001*Table1123457[[#This Row],[pho (%)]])</f>
        <v>1.0969625190407166E-6</v>
      </c>
      <c r="U70" s="111">
        <f>Table1123457[[#This Row],[M (KN.mm)]]/(Table1123457[[#This Row],[b (mm)]]*Table1123457[[#This Row],[d (mm)]]*Table1123457[[#This Row],[pho (%)]])</f>
        <v>5.5185025817555937</v>
      </c>
      <c r="V70" s="111">
        <f>E70*224.8/(2*SQRT(Table1123457[[#This Row],[fc (Mpa)]]*145.037)*Table1123457[[#This Row],[b (mm)]]*Table1123457[[#This Row],[d (mm)]]*(1/25.4)^2)</f>
        <v>1.0989376367325479</v>
      </c>
      <c r="W70" s="111">
        <f>Table1123457[[#This Row],[M (KN.mm)]]/$G$71</f>
        <v>0.95190380761523041</v>
      </c>
      <c r="X70" s="111">
        <f t="shared" si="9"/>
        <v>1.0989376367325479</v>
      </c>
      <c r="Y70" s="111">
        <v>4050</v>
      </c>
      <c r="Z70" s="111">
        <v>1400</v>
      </c>
      <c r="AA70" s="111">
        <v>1475</v>
      </c>
      <c r="AB70" s="111">
        <v>300</v>
      </c>
      <c r="AC70" s="7">
        <v>38.4</v>
      </c>
      <c r="AD70" s="111">
        <f>Table1123457[[#This Row],[pho (%)]]*Table1123457[[#This Row],[b (mm)]]*Table1123457[[#This Row],[h (mm)]]/100</f>
        <v>3672.75</v>
      </c>
      <c r="AE70" s="160">
        <v>0.83</v>
      </c>
      <c r="AF70" s="160">
        <v>525</v>
      </c>
      <c r="AG70" s="111">
        <f>(1/3-0.21*(MIN(Table1123457[[#This Row],[b (mm)]],AA70)/MAX(Table1123457[[#This Row],[b (mm)]],AA70))*(MIN(Table1123457[[#This Row],[b (mm)]],AA70)^4/(12*MAX(Table1123457[[#This Row],[b (mm)]],AA70)^4)))*MAX(Table1123457[[#This Row],[b (mm)]],AA70)*MIN(Table1123457[[#This Row],[b (mm)]],AA70)^3</f>
        <v>13274757428.370747</v>
      </c>
      <c r="AH70" s="111">
        <f>Table1123457[[#This Row],[b (mm)]]*AA70^3/12</f>
        <v>80226171875</v>
      </c>
      <c r="AI70" s="111">
        <v>8100</v>
      </c>
      <c r="AK70" s="126"/>
    </row>
    <row r="71" spans="1:39" x14ac:dyDescent="0.25">
      <c r="A71" s="164" t="s">
        <v>151</v>
      </c>
      <c r="B71" s="164" t="s">
        <v>141</v>
      </c>
      <c r="C71" s="185">
        <v>70</v>
      </c>
      <c r="D71" s="185">
        <f>Table1123457[[#This Row],[a (mm)]]/Table1123457[[#This Row],[d (mm)]]</f>
        <v>2.8928571428571428</v>
      </c>
      <c r="E71" s="239">
        <v>499</v>
      </c>
      <c r="F71" s="137">
        <f>Table1123457[[#This Row],[d (mm)]]</f>
        <v>1400</v>
      </c>
      <c r="G71" s="111">
        <f t="shared" si="7"/>
        <v>2020950</v>
      </c>
      <c r="H71" s="135">
        <f t="shared" si="8"/>
        <v>9.5648203476019695E-7</v>
      </c>
      <c r="I71" s="135">
        <f>G71/(Table1123457[[#This Row],[b (mm)]]*Z71^2)</f>
        <v>3.4369897959183673E-3</v>
      </c>
      <c r="J71" s="135">
        <f t="shared" si="5"/>
        <v>0.74864660996111743</v>
      </c>
      <c r="K71" s="111">
        <f t="shared" si="6"/>
        <v>1.1971382400750483E-6</v>
      </c>
      <c r="L71" s="111">
        <f>E71/(Table1123457[[#This Row],[b (mm)]]*Z71)</f>
        <v>1.1880952380952381E-3</v>
      </c>
      <c r="M71" s="111">
        <f>Table1123457[[#This Row],[M (KN.mm)]]/(Table1123457[[#This Row],[b (mm)]]*Table1123457[[#This Row],[d (mm)]])</f>
        <v>4.8117857142857146</v>
      </c>
      <c r="N71" s="111">
        <f>Table1123457[[#This Row],[M (KN.mm)]]/(Table1123457[[#This Row],[b (mm)]]*Table1123457[[#This Row],[h (mm)]])</f>
        <v>4.5671186440677962</v>
      </c>
      <c r="O71" s="111">
        <f>Table1123457[[#This Row],[M (KN.mm)]]/(Table1123457[[#This Row],[b (mm)]]*Table1123457[[#This Row],[h (mm)]]*Table1123457[[#This Row],[L(mm)]])</f>
        <v>5.6384180790960449E-4</v>
      </c>
      <c r="P71" s="111">
        <f>Table1123457[[#This Row],[M (KN.mm)]]/(Table1123457[[#This Row],[b (mm)]]*Table1123457[[#This Row],[d (mm)]]*Table1123457[[#This Row],[L(mm)]])</f>
        <v>5.9404761904761905E-4</v>
      </c>
      <c r="Q71" s="111">
        <f>Table1123457[[#This Row],[M (KN.mm)]]/(Table1123457[[#This Row],[b (mm)]]*Table1123457[[#This Row],[h (mm)]]*Table1123457[[#This Row],[L(mm)]]*Table1123457[[#This Row],[fc (Mpa)]])</f>
        <v>1.4683380414312618E-5</v>
      </c>
      <c r="R71" s="111">
        <f>Table1123457[[#This Row],[M (KN.mm)]]/(Table1123457[[#This Row],[b (mm)]]*Table1123457[[#This Row],[h (mm)]]*Table1123457[[#This Row],[L(mm)]]/2)</f>
        <v>1.127683615819209E-3</v>
      </c>
      <c r="S71" s="111">
        <f>Table1123457[[#This Row],[M (KN.mm)]]/(Table1123457[[#This Row],[a (mm)]]*Table1123457[[#This Row],[b (mm)]]*Table1123457[[#This Row],[h (mm)]]*Table1123457[[#This Row],[L(mm)]]/2)</f>
        <v>2.7844039896770593E-7</v>
      </c>
      <c r="T71" s="111">
        <f>G71/($AL$5*AH71*0.001*Table1123457[[#This Row],[pho (%)]])</f>
        <v>1.1523879936869845E-6</v>
      </c>
      <c r="U71" s="111">
        <f>Table1123457[[#This Row],[M (KN.mm)]]/(Table1123457[[#This Row],[b (mm)]]*Table1123457[[#This Row],[d (mm)]]*Table1123457[[#This Row],[pho (%)]])</f>
        <v>5.7973321858864031</v>
      </c>
      <c r="V71" s="111">
        <f>E71*224.8/(2*SQRT(Table1123457[[#This Row],[fc (Mpa)]]*145.037)*Table1123457[[#This Row],[b (mm)]]*Table1123457[[#This Row],[d (mm)]]*(1/25.4)^2)</f>
        <v>1.1544629067990346</v>
      </c>
      <c r="W71" s="111">
        <f>Table1123457[[#This Row],[M (KN.mm)]]/$G$71</f>
        <v>1</v>
      </c>
      <c r="X71" s="111">
        <f t="shared" si="9"/>
        <v>1.1544629067990346</v>
      </c>
      <c r="Y71" s="111">
        <v>4050</v>
      </c>
      <c r="Z71" s="111">
        <v>1400</v>
      </c>
      <c r="AA71" s="111">
        <v>1475</v>
      </c>
      <c r="AB71" s="111">
        <v>300</v>
      </c>
      <c r="AC71" s="7">
        <v>38.4</v>
      </c>
      <c r="AD71" s="111">
        <f>Table1123457[[#This Row],[pho (%)]]*Table1123457[[#This Row],[b (mm)]]*Table1123457[[#This Row],[h (mm)]]/100</f>
        <v>3672.75</v>
      </c>
      <c r="AE71" s="160">
        <v>0.83</v>
      </c>
      <c r="AF71" s="160">
        <v>525</v>
      </c>
      <c r="AG71" s="111">
        <f>(1/3-0.21*(MIN(Table1123457[[#This Row],[b (mm)]],AA71)/MAX(Table1123457[[#This Row],[b (mm)]],AA71))*(MIN(Table1123457[[#This Row],[b (mm)]],AA71)^4/(12*MAX(Table1123457[[#This Row],[b (mm)]],AA71)^4)))*MAX(Table1123457[[#This Row],[b (mm)]],AA71)*MIN(Table1123457[[#This Row],[b (mm)]],AA71)^3</f>
        <v>13274757428.370747</v>
      </c>
      <c r="AH71" s="111">
        <f>Table1123457[[#This Row],[b (mm)]]*AA71^3/12</f>
        <v>80226171875</v>
      </c>
      <c r="AI71" s="111">
        <v>8100</v>
      </c>
      <c r="AK71" s="126"/>
    </row>
    <row r="72" spans="1:39" x14ac:dyDescent="0.25">
      <c r="A72" s="245" t="s">
        <v>152</v>
      </c>
      <c r="B72" s="245">
        <v>1</v>
      </c>
      <c r="C72" s="185">
        <v>71</v>
      </c>
      <c r="D72" s="185">
        <f>Table1123457[[#This Row],[a (mm)]]/Table1123457[[#This Row],[d (mm)]]</f>
        <v>2.8928571428571428</v>
      </c>
      <c r="E72" s="224">
        <v>160</v>
      </c>
      <c r="F72" s="137">
        <f>Table1123457[[#This Row],[d (mm)]]</f>
        <v>1400</v>
      </c>
      <c r="G72" s="111">
        <f t="shared" si="7"/>
        <v>648000</v>
      </c>
      <c r="H72" s="135">
        <f t="shared" si="8"/>
        <v>3.066876263760151E-7</v>
      </c>
      <c r="I72" s="135">
        <f>G72/(Table1123457[[#This Row],[b (mm)]]*Z72^2)</f>
        <v>1.1020408163265306E-3</v>
      </c>
      <c r="J72" s="135">
        <f t="shared" si="5"/>
        <v>0.2400470092059695</v>
      </c>
      <c r="K72" s="111">
        <f t="shared" si="6"/>
        <v>3.8385194070542633E-7</v>
      </c>
      <c r="L72" s="111">
        <f>E72/(Table1123457[[#This Row],[b (mm)]]*Z72)</f>
        <v>3.8095238095238096E-4</v>
      </c>
      <c r="M72" s="111">
        <f>Table1123457[[#This Row],[M (KN.mm)]]/(Table1123457[[#This Row],[b (mm)]]*Table1123457[[#This Row],[d (mm)]])</f>
        <v>1.5428571428571429</v>
      </c>
      <c r="N72" s="111">
        <f>Table1123457[[#This Row],[M (KN.mm)]]/(Table1123457[[#This Row],[b (mm)]]*Table1123457[[#This Row],[h (mm)]])</f>
        <v>1.464406779661017</v>
      </c>
      <c r="O72" s="111">
        <f>Table1123457[[#This Row],[M (KN.mm)]]/(Table1123457[[#This Row],[b (mm)]]*Table1123457[[#This Row],[h (mm)]]*Table1123457[[#This Row],[L(mm)]])</f>
        <v>1.807909604519774E-4</v>
      </c>
      <c r="P72" s="111">
        <f>Table1123457[[#This Row],[M (KN.mm)]]/(Table1123457[[#This Row],[b (mm)]]*Table1123457[[#This Row],[d (mm)]]*Table1123457[[#This Row],[L(mm)]])</f>
        <v>1.9047619047619048E-4</v>
      </c>
      <c r="Q72" s="111">
        <f>Table1123457[[#This Row],[M (KN.mm)]]/(Table1123457[[#This Row],[b (mm)]]*Table1123457[[#This Row],[h (mm)]]*Table1123457[[#This Row],[L(mm)]]*Table1123457[[#This Row],[fc (Mpa)]])</f>
        <v>4.4861280509175535E-6</v>
      </c>
      <c r="R72" s="111">
        <f>Table1123457[[#This Row],[M (KN.mm)]]/(Table1123457[[#This Row],[b (mm)]]*Table1123457[[#This Row],[h (mm)]]*Table1123457[[#This Row],[L(mm)]]/2)</f>
        <v>3.615819209039548E-4</v>
      </c>
      <c r="S72" s="111">
        <f>Table1123457[[#This Row],[M (KN.mm)]]/(Table1123457[[#This Row],[a (mm)]]*Table1123457[[#This Row],[b (mm)]]*Table1123457[[#This Row],[h (mm)]]*Table1123457[[#This Row],[L(mm)]]/2)</f>
        <v>8.9279486642951798E-8</v>
      </c>
      <c r="T72" s="111">
        <f>G72/($AL$5*AH72*0.001*Table1123457[[#This Row],[pho (%)]])</f>
        <v>3.6950316430845193E-7</v>
      </c>
      <c r="U72" s="111">
        <f>Table1123457[[#This Row],[M (KN.mm)]]/(Table1123457[[#This Row],[b (mm)]]*Table1123457[[#This Row],[d (mm)]]*Table1123457[[#This Row],[pho (%)]])</f>
        <v>1.8588640275387263</v>
      </c>
      <c r="V72" s="111">
        <f>E72*224.8/(2*SQRT(Table1123457[[#This Row],[fc (Mpa)]]*145.037)*Table1123457[[#This Row],[b (mm)]]*Table1123457[[#This Row],[d (mm)]]*(1/25.4)^2)</f>
        <v>0.36133706249883418</v>
      </c>
      <c r="W72" s="111">
        <f>Table1123457[[#This Row],[M (KN.mm)]]/$G$77</f>
        <v>0.3524229074889868</v>
      </c>
      <c r="X72" s="111">
        <f t="shared" si="9"/>
        <v>0.36133706249883418</v>
      </c>
      <c r="Y72" s="111">
        <v>4050</v>
      </c>
      <c r="Z72" s="111">
        <v>1400</v>
      </c>
      <c r="AA72" s="111">
        <v>1475</v>
      </c>
      <c r="AB72" s="111">
        <v>300</v>
      </c>
      <c r="AC72" s="7">
        <v>40.299999999999997</v>
      </c>
      <c r="AD72" s="111">
        <f>Table1123457[[#This Row],[pho (%)]]*Table1123457[[#This Row],[b (mm)]]*Table1123457[[#This Row],[h (mm)]]/100</f>
        <v>3672.75</v>
      </c>
      <c r="AE72" s="160">
        <v>0.83</v>
      </c>
      <c r="AF72" s="160">
        <v>525</v>
      </c>
      <c r="AG72" s="111">
        <f>(1/3-0.21*(MIN(Table1123457[[#This Row],[b (mm)]],AA72)/MAX(Table1123457[[#This Row],[b (mm)]],AA72))*(MIN(Table1123457[[#This Row],[b (mm)]],AA72)^4/(12*MAX(Table1123457[[#This Row],[b (mm)]],AA72)^4)))*MAX(Table1123457[[#This Row],[b (mm)]],AA72)*MIN(Table1123457[[#This Row],[b (mm)]],AA72)^3</f>
        <v>13274757428.370747</v>
      </c>
      <c r="AH72" s="111">
        <f>Table1123457[[#This Row],[b (mm)]]*AA72^3/12</f>
        <v>80226171875</v>
      </c>
      <c r="AI72" s="111">
        <v>8100</v>
      </c>
      <c r="AK72" s="126"/>
    </row>
    <row r="73" spans="1:39" x14ac:dyDescent="0.25">
      <c r="A73" s="245" t="s">
        <v>152</v>
      </c>
      <c r="B73" s="161">
        <v>2</v>
      </c>
      <c r="C73" s="185">
        <v>72</v>
      </c>
      <c r="D73" s="185">
        <f>Table1123457[[#This Row],[a (mm)]]/Table1123457[[#This Row],[d (mm)]]</f>
        <v>2.8928571428571428</v>
      </c>
      <c r="E73" s="224">
        <v>225</v>
      </c>
      <c r="F73" s="137">
        <f>Table1123457[[#This Row],[d (mm)]]</f>
        <v>1400</v>
      </c>
      <c r="G73" s="111">
        <f t="shared" si="7"/>
        <v>911250</v>
      </c>
      <c r="H73" s="135">
        <f t="shared" si="8"/>
        <v>4.3127947459127122E-7</v>
      </c>
      <c r="I73" s="135">
        <f>G73/(Table1123457[[#This Row],[b (mm)]]*Z73^2)</f>
        <v>1.5497448979591836E-3</v>
      </c>
      <c r="J73" s="135">
        <f t="shared" si="5"/>
        <v>0.3375661066958946</v>
      </c>
      <c r="K73" s="111">
        <f t="shared" si="6"/>
        <v>5.3979179161700577E-7</v>
      </c>
      <c r="L73" s="111">
        <f>E73/(Table1123457[[#This Row],[b (mm)]]*Z73)</f>
        <v>5.3571428571428574E-4</v>
      </c>
      <c r="M73" s="111">
        <f>Table1123457[[#This Row],[M (KN.mm)]]/(Table1123457[[#This Row],[b (mm)]]*Table1123457[[#This Row],[d (mm)]])</f>
        <v>2.1696428571428572</v>
      </c>
      <c r="N73" s="111">
        <f>Table1123457[[#This Row],[M (KN.mm)]]/(Table1123457[[#This Row],[b (mm)]]*Table1123457[[#This Row],[h (mm)]])</f>
        <v>2.0593220338983049</v>
      </c>
      <c r="O73" s="111">
        <f>Table1123457[[#This Row],[M (KN.mm)]]/(Table1123457[[#This Row],[b (mm)]]*Table1123457[[#This Row],[h (mm)]]*Table1123457[[#This Row],[L(mm)]])</f>
        <v>2.5423728813559322E-4</v>
      </c>
      <c r="P73" s="111">
        <f>Table1123457[[#This Row],[M (KN.mm)]]/(Table1123457[[#This Row],[b (mm)]]*Table1123457[[#This Row],[d (mm)]]*Table1123457[[#This Row],[L(mm)]])</f>
        <v>2.6785714285714287E-4</v>
      </c>
      <c r="Q73" s="111">
        <f>Table1123457[[#This Row],[M (KN.mm)]]/(Table1123457[[#This Row],[b (mm)]]*Table1123457[[#This Row],[h (mm)]]*Table1123457[[#This Row],[L(mm)]]*Table1123457[[#This Row],[fc (Mpa)]])</f>
        <v>6.3086175716028091E-6</v>
      </c>
      <c r="R73" s="111">
        <f>Table1123457[[#This Row],[M (KN.mm)]]/(Table1123457[[#This Row],[b (mm)]]*Table1123457[[#This Row],[h (mm)]]*Table1123457[[#This Row],[L(mm)]]/2)</f>
        <v>5.0847457627118645E-4</v>
      </c>
      <c r="S73" s="111">
        <f>Table1123457[[#This Row],[M (KN.mm)]]/(Table1123457[[#This Row],[a (mm)]]*Table1123457[[#This Row],[b (mm)]]*Table1123457[[#This Row],[h (mm)]]*Table1123457[[#This Row],[L(mm)]]/2)</f>
        <v>1.2554927809165096E-7</v>
      </c>
      <c r="T73" s="111">
        <f>G73/($AL$5*AH73*0.001*Table1123457[[#This Row],[pho (%)]])</f>
        <v>5.1961382480876054E-7</v>
      </c>
      <c r="U73" s="111">
        <f>Table1123457[[#This Row],[M (KN.mm)]]/(Table1123457[[#This Row],[b (mm)]]*Table1123457[[#This Row],[d (mm)]]*Table1123457[[#This Row],[pho (%)]])</f>
        <v>2.6140275387263339</v>
      </c>
      <c r="V73" s="111">
        <f>E73*224.8/(2*SQRT(Table1123457[[#This Row],[fc (Mpa)]]*145.037)*Table1123457[[#This Row],[b (mm)]]*Table1123457[[#This Row],[d (mm)]]*(1/25.4)^2)</f>
        <v>0.50813024413898555</v>
      </c>
      <c r="W73" s="111">
        <f>Table1123457[[#This Row],[M (KN.mm)]]/$G$77</f>
        <v>0.49559471365638769</v>
      </c>
      <c r="X73" s="111">
        <f t="shared" si="9"/>
        <v>0.50813024413898555</v>
      </c>
      <c r="Y73" s="111">
        <v>4050</v>
      </c>
      <c r="Z73" s="111">
        <v>1400</v>
      </c>
      <c r="AA73" s="111">
        <v>1475</v>
      </c>
      <c r="AB73" s="111">
        <v>300</v>
      </c>
      <c r="AC73" s="7">
        <v>40.299999999999997</v>
      </c>
      <c r="AD73" s="111">
        <f>Table1123457[[#This Row],[pho (%)]]*Table1123457[[#This Row],[b (mm)]]*Table1123457[[#This Row],[h (mm)]]/100</f>
        <v>3672.75</v>
      </c>
      <c r="AE73" s="160">
        <v>0.83</v>
      </c>
      <c r="AF73" s="160">
        <v>525</v>
      </c>
      <c r="AG73" s="111">
        <f>(1/3-0.21*(MIN(Table1123457[[#This Row],[b (mm)]],AA73)/MAX(Table1123457[[#This Row],[b (mm)]],AA73))*(MIN(Table1123457[[#This Row],[b (mm)]],AA73)^4/(12*MAX(Table1123457[[#This Row],[b (mm)]],AA73)^4)))*MAX(Table1123457[[#This Row],[b (mm)]],AA73)*MIN(Table1123457[[#This Row],[b (mm)]],AA73)^3</f>
        <v>13274757428.370747</v>
      </c>
      <c r="AH73" s="111">
        <f>Table1123457[[#This Row],[b (mm)]]*AA73^3/12</f>
        <v>80226171875</v>
      </c>
      <c r="AI73" s="111">
        <v>8100</v>
      </c>
      <c r="AK73" s="126"/>
    </row>
    <row r="74" spans="1:39" x14ac:dyDescent="0.25">
      <c r="A74" s="245" t="s">
        <v>152</v>
      </c>
      <c r="B74" s="161">
        <v>3</v>
      </c>
      <c r="C74" s="185">
        <v>73</v>
      </c>
      <c r="D74" s="185">
        <f>Table1123457[[#This Row],[a (mm)]]/Table1123457[[#This Row],[d (mm)]]</f>
        <v>2.8928571428571428</v>
      </c>
      <c r="E74" s="224">
        <v>350</v>
      </c>
      <c r="F74" s="137">
        <f>Table1123457[[#This Row],[d (mm)]]</f>
        <v>1400</v>
      </c>
      <c r="G74" s="111">
        <f t="shared" si="7"/>
        <v>1417500</v>
      </c>
      <c r="H74" s="135">
        <f t="shared" si="8"/>
        <v>6.7087918269753299E-7</v>
      </c>
      <c r="I74" s="135">
        <f>G74/(Table1123457[[#This Row],[b (mm)]]*Z74^2)</f>
        <v>2.4107142857142856E-3</v>
      </c>
      <c r="J74" s="135">
        <f t="shared" si="5"/>
        <v>0.52510283263805824</v>
      </c>
      <c r="K74" s="111">
        <f t="shared" si="6"/>
        <v>8.3967612029312006E-7</v>
      </c>
      <c r="L74" s="111">
        <f>E74/(Table1123457[[#This Row],[b (mm)]]*Z74)</f>
        <v>8.3333333333333339E-4</v>
      </c>
      <c r="M74" s="111">
        <f>Table1123457[[#This Row],[M (KN.mm)]]/(Table1123457[[#This Row],[b (mm)]]*Table1123457[[#This Row],[d (mm)]])</f>
        <v>3.375</v>
      </c>
      <c r="N74" s="111">
        <f>Table1123457[[#This Row],[M (KN.mm)]]/(Table1123457[[#This Row],[b (mm)]]*Table1123457[[#This Row],[h (mm)]])</f>
        <v>3.2033898305084745</v>
      </c>
      <c r="O74" s="111">
        <f>Table1123457[[#This Row],[M (KN.mm)]]/(Table1123457[[#This Row],[b (mm)]]*Table1123457[[#This Row],[h (mm)]]*Table1123457[[#This Row],[L(mm)]])</f>
        <v>3.9548022598870055E-4</v>
      </c>
      <c r="P74" s="111">
        <f>Table1123457[[#This Row],[M (KN.mm)]]/(Table1123457[[#This Row],[b (mm)]]*Table1123457[[#This Row],[d (mm)]]*Table1123457[[#This Row],[L(mm)]])</f>
        <v>4.1666666666666669E-4</v>
      </c>
      <c r="Q74" s="111">
        <f>Table1123457[[#This Row],[M (KN.mm)]]/(Table1123457[[#This Row],[b (mm)]]*Table1123457[[#This Row],[h (mm)]]*Table1123457[[#This Row],[L(mm)]]*Table1123457[[#This Row],[fc (Mpa)]])</f>
        <v>9.8134051113821477E-6</v>
      </c>
      <c r="R74" s="111">
        <f>Table1123457[[#This Row],[M (KN.mm)]]/(Table1123457[[#This Row],[b (mm)]]*Table1123457[[#This Row],[h (mm)]]*Table1123457[[#This Row],[L(mm)]]/2)</f>
        <v>7.9096045197740109E-4</v>
      </c>
      <c r="S74" s="111">
        <f>Table1123457[[#This Row],[M (KN.mm)]]/(Table1123457[[#This Row],[a (mm)]]*Table1123457[[#This Row],[b (mm)]]*Table1123457[[#This Row],[h (mm)]]*Table1123457[[#This Row],[L(mm)]]/2)</f>
        <v>1.9529887703145707E-7</v>
      </c>
      <c r="T74" s="111">
        <f>G74/($AL$5*AH74*0.001*Table1123457[[#This Row],[pho (%)]])</f>
        <v>8.0828817192473861E-7</v>
      </c>
      <c r="U74" s="111">
        <f>Table1123457[[#This Row],[M (KN.mm)]]/(Table1123457[[#This Row],[b (mm)]]*Table1123457[[#This Row],[d (mm)]]*Table1123457[[#This Row],[pho (%)]])</f>
        <v>4.0662650602409638</v>
      </c>
      <c r="V74" s="111">
        <f>E74*224.8/(2*SQRT(Table1123457[[#This Row],[fc (Mpa)]]*145.037)*Table1123457[[#This Row],[b (mm)]]*Table1123457[[#This Row],[d (mm)]]*(1/25.4)^2)</f>
        <v>0.79042482421619975</v>
      </c>
      <c r="W74" s="111">
        <f>Table1123457[[#This Row],[M (KN.mm)]]/$G$77</f>
        <v>0.77092511013215859</v>
      </c>
      <c r="X74" s="111">
        <f t="shared" si="9"/>
        <v>0.79042482421619975</v>
      </c>
      <c r="Y74" s="111">
        <v>4050</v>
      </c>
      <c r="Z74" s="111">
        <v>1400</v>
      </c>
      <c r="AA74" s="111">
        <v>1475</v>
      </c>
      <c r="AB74" s="111">
        <v>300</v>
      </c>
      <c r="AC74" s="7">
        <v>40.299999999999997</v>
      </c>
      <c r="AD74" s="111">
        <f>Table1123457[[#This Row],[pho (%)]]*Table1123457[[#This Row],[b (mm)]]*Table1123457[[#This Row],[h (mm)]]/100</f>
        <v>3672.75</v>
      </c>
      <c r="AE74" s="160">
        <v>0.83</v>
      </c>
      <c r="AF74" s="160">
        <v>525</v>
      </c>
      <c r="AG74" s="111">
        <f>(1/3-0.21*(MIN(Table1123457[[#This Row],[b (mm)]],AA74)/MAX(Table1123457[[#This Row],[b (mm)]],AA74))*(MIN(Table1123457[[#This Row],[b (mm)]],AA74)^4/(12*MAX(Table1123457[[#This Row],[b (mm)]],AA74)^4)))*MAX(Table1123457[[#This Row],[b (mm)]],AA74)*MIN(Table1123457[[#This Row],[b (mm)]],AA74)^3</f>
        <v>13274757428.370747</v>
      </c>
      <c r="AH74" s="111">
        <f>Table1123457[[#This Row],[b (mm)]]*AA74^3/12</f>
        <v>80226171875</v>
      </c>
      <c r="AI74" s="111">
        <v>8100</v>
      </c>
      <c r="AK74" s="126"/>
    </row>
    <row r="75" spans="1:39" x14ac:dyDescent="0.25">
      <c r="A75" s="245" t="s">
        <v>152</v>
      </c>
      <c r="B75" s="161">
        <v>4</v>
      </c>
      <c r="C75" s="185">
        <v>74</v>
      </c>
      <c r="D75" s="185">
        <f>Table1123457[[#This Row],[a (mm)]]/Table1123457[[#This Row],[d (mm)]]</f>
        <v>2.8928571428571428</v>
      </c>
      <c r="E75" s="224">
        <v>420</v>
      </c>
      <c r="F75" s="137">
        <f>Table1123457[[#This Row],[d (mm)]]</f>
        <v>1400</v>
      </c>
      <c r="G75" s="111">
        <f t="shared" si="7"/>
        <v>1701000</v>
      </c>
      <c r="H75" s="135">
        <f t="shared" si="8"/>
        <v>8.0505501923703954E-7</v>
      </c>
      <c r="I75" s="135">
        <f>G75/(Table1123457[[#This Row],[b (mm)]]*Z75^2)</f>
        <v>2.8928571428571428E-3</v>
      </c>
      <c r="J75" s="135">
        <f t="shared" si="5"/>
        <v>0.63012339916566995</v>
      </c>
      <c r="K75" s="111">
        <f t="shared" si="6"/>
        <v>1.0076113443517442E-6</v>
      </c>
      <c r="L75" s="111">
        <f>E75/(Table1123457[[#This Row],[b (mm)]]*Z75)</f>
        <v>1E-3</v>
      </c>
      <c r="M75" s="111">
        <f>Table1123457[[#This Row],[M (KN.mm)]]/(Table1123457[[#This Row],[b (mm)]]*Table1123457[[#This Row],[d (mm)]])</f>
        <v>4.05</v>
      </c>
      <c r="N75" s="111">
        <f>Table1123457[[#This Row],[M (KN.mm)]]/(Table1123457[[#This Row],[b (mm)]]*Table1123457[[#This Row],[h (mm)]])</f>
        <v>3.8440677966101693</v>
      </c>
      <c r="O75" s="111">
        <f>Table1123457[[#This Row],[M (KN.mm)]]/(Table1123457[[#This Row],[b (mm)]]*Table1123457[[#This Row],[h (mm)]]*Table1123457[[#This Row],[L(mm)]])</f>
        <v>4.745762711864407E-4</v>
      </c>
      <c r="P75" s="111">
        <f>Table1123457[[#This Row],[M (KN.mm)]]/(Table1123457[[#This Row],[b (mm)]]*Table1123457[[#This Row],[d (mm)]]*Table1123457[[#This Row],[L(mm)]])</f>
        <v>5.0000000000000001E-4</v>
      </c>
      <c r="Q75" s="111">
        <f>Table1123457[[#This Row],[M (KN.mm)]]/(Table1123457[[#This Row],[b (mm)]]*Table1123457[[#This Row],[h (mm)]]*Table1123457[[#This Row],[L(mm)]]*Table1123457[[#This Row],[fc (Mpa)]])</f>
        <v>1.1776086133658578E-5</v>
      </c>
      <c r="R75" s="111">
        <f>Table1123457[[#This Row],[M (KN.mm)]]/(Table1123457[[#This Row],[b (mm)]]*Table1123457[[#This Row],[h (mm)]]*Table1123457[[#This Row],[L(mm)]]/2)</f>
        <v>9.491525423728814E-4</v>
      </c>
      <c r="S75" s="111">
        <f>Table1123457[[#This Row],[M (KN.mm)]]/(Table1123457[[#This Row],[a (mm)]]*Table1123457[[#This Row],[b (mm)]]*Table1123457[[#This Row],[h (mm)]]*Table1123457[[#This Row],[L(mm)]]/2)</f>
        <v>2.3435865243774848E-7</v>
      </c>
      <c r="T75" s="111">
        <f>G75/($AL$5*AH75*0.001*Table1123457[[#This Row],[pho (%)]])</f>
        <v>9.6994580630968621E-7</v>
      </c>
      <c r="U75" s="111">
        <f>Table1123457[[#This Row],[M (KN.mm)]]/(Table1123457[[#This Row],[b (mm)]]*Table1123457[[#This Row],[d (mm)]]*Table1123457[[#This Row],[pho (%)]])</f>
        <v>4.8795180722891569</v>
      </c>
      <c r="V75" s="111">
        <f>E75*224.8/(2*SQRT(Table1123457[[#This Row],[fc (Mpa)]]*145.037)*Table1123457[[#This Row],[b (mm)]]*Table1123457[[#This Row],[d (mm)]]*(1/25.4)^2)</f>
        <v>0.94850978905943972</v>
      </c>
      <c r="W75" s="111">
        <f>Table1123457[[#This Row],[M (KN.mm)]]/$G$77</f>
        <v>0.92511013215859028</v>
      </c>
      <c r="X75" s="111">
        <f t="shared" si="9"/>
        <v>0.94850978905943972</v>
      </c>
      <c r="Y75" s="111">
        <v>4050</v>
      </c>
      <c r="Z75" s="111">
        <v>1400</v>
      </c>
      <c r="AA75" s="111">
        <v>1475</v>
      </c>
      <c r="AB75" s="111">
        <v>300</v>
      </c>
      <c r="AC75" s="7">
        <v>40.299999999999997</v>
      </c>
      <c r="AD75" s="111">
        <f>Table1123457[[#This Row],[pho (%)]]*Table1123457[[#This Row],[b (mm)]]*Table1123457[[#This Row],[h (mm)]]/100</f>
        <v>3672.75</v>
      </c>
      <c r="AE75" s="160">
        <v>0.83</v>
      </c>
      <c r="AF75" s="160">
        <v>525</v>
      </c>
      <c r="AG75" s="111">
        <f>(1/3-0.21*(MIN(Table1123457[[#This Row],[b (mm)]],AA75)/MAX(Table1123457[[#This Row],[b (mm)]],AA75))*(MIN(Table1123457[[#This Row],[b (mm)]],AA75)^4/(12*MAX(Table1123457[[#This Row],[b (mm)]],AA75)^4)))*MAX(Table1123457[[#This Row],[b (mm)]],AA75)*MIN(Table1123457[[#This Row],[b (mm)]],AA75)^3</f>
        <v>13274757428.370747</v>
      </c>
      <c r="AH75" s="111">
        <f>Table1123457[[#This Row],[b (mm)]]*AA75^3/12</f>
        <v>80226171875</v>
      </c>
      <c r="AI75" s="111">
        <v>8100</v>
      </c>
      <c r="AK75" s="126"/>
    </row>
    <row r="76" spans="1:39" x14ac:dyDescent="0.25">
      <c r="A76" s="245" t="s">
        <v>152</v>
      </c>
      <c r="B76" s="161">
        <v>5</v>
      </c>
      <c r="C76" s="185">
        <v>75</v>
      </c>
      <c r="D76" s="185">
        <f>Table1123457[[#This Row],[a (mm)]]/Table1123457[[#This Row],[d (mm)]]</f>
        <v>2.8928571428571428</v>
      </c>
      <c r="E76" s="224">
        <v>450</v>
      </c>
      <c r="F76" s="137">
        <f>Table1123457[[#This Row],[d (mm)]]</f>
        <v>1400</v>
      </c>
      <c r="G76" s="111">
        <f t="shared" si="7"/>
        <v>1822500</v>
      </c>
      <c r="H76" s="135">
        <f t="shared" si="8"/>
        <v>8.6255894918254244E-7</v>
      </c>
      <c r="I76" s="135">
        <f>G76/(Table1123457[[#This Row],[b (mm)]]*Z76^2)</f>
        <v>3.0994897959183672E-3</v>
      </c>
      <c r="J76" s="135">
        <f t="shared" si="5"/>
        <v>0.67513221339178919</v>
      </c>
      <c r="K76" s="111">
        <f t="shared" si="6"/>
        <v>1.0795835832340115E-6</v>
      </c>
      <c r="L76" s="111">
        <f>E76/(Table1123457[[#This Row],[b (mm)]]*Z76)</f>
        <v>1.0714285714285715E-3</v>
      </c>
      <c r="M76" s="111">
        <f>Table1123457[[#This Row],[M (KN.mm)]]/(Table1123457[[#This Row],[b (mm)]]*Table1123457[[#This Row],[d (mm)]])</f>
        <v>4.3392857142857144</v>
      </c>
      <c r="N76" s="111">
        <f>Table1123457[[#This Row],[M (KN.mm)]]/(Table1123457[[#This Row],[b (mm)]]*Table1123457[[#This Row],[h (mm)]])</f>
        <v>4.1186440677966099</v>
      </c>
      <c r="O76" s="111">
        <f>Table1123457[[#This Row],[M (KN.mm)]]/(Table1123457[[#This Row],[b (mm)]]*Table1123457[[#This Row],[h (mm)]]*Table1123457[[#This Row],[L(mm)]])</f>
        <v>5.0847457627118645E-4</v>
      </c>
      <c r="P76" s="111">
        <f>Table1123457[[#This Row],[M (KN.mm)]]/(Table1123457[[#This Row],[b (mm)]]*Table1123457[[#This Row],[d (mm)]]*Table1123457[[#This Row],[L(mm)]])</f>
        <v>5.3571428571428574E-4</v>
      </c>
      <c r="Q76" s="111">
        <f>Table1123457[[#This Row],[M (KN.mm)]]/(Table1123457[[#This Row],[b (mm)]]*Table1123457[[#This Row],[h (mm)]]*Table1123457[[#This Row],[L(mm)]]*Table1123457[[#This Row],[fc (Mpa)]])</f>
        <v>1.2617235143205618E-5</v>
      </c>
      <c r="R76" s="111">
        <f>Table1123457[[#This Row],[M (KN.mm)]]/(Table1123457[[#This Row],[b (mm)]]*Table1123457[[#This Row],[h (mm)]]*Table1123457[[#This Row],[L(mm)]]/2)</f>
        <v>1.0169491525423729E-3</v>
      </c>
      <c r="S76" s="111">
        <f>Table1123457[[#This Row],[M (KN.mm)]]/(Table1123457[[#This Row],[a (mm)]]*Table1123457[[#This Row],[b (mm)]]*Table1123457[[#This Row],[h (mm)]]*Table1123457[[#This Row],[L(mm)]]/2)</f>
        <v>2.5109855618330192E-7</v>
      </c>
      <c r="T76" s="111">
        <f>G76/($AL$5*AH76*0.001*Table1123457[[#This Row],[pho (%)]])</f>
        <v>1.0392276496175211E-6</v>
      </c>
      <c r="U76" s="111">
        <f>Table1123457[[#This Row],[M (KN.mm)]]/(Table1123457[[#This Row],[b (mm)]]*Table1123457[[#This Row],[d (mm)]]*Table1123457[[#This Row],[pho (%)]])</f>
        <v>5.2280550774526677</v>
      </c>
      <c r="V76" s="111">
        <f>E76*224.8/(2*SQRT(Table1123457[[#This Row],[fc (Mpa)]]*145.037)*Table1123457[[#This Row],[b (mm)]]*Table1123457[[#This Row],[d (mm)]]*(1/25.4)^2)</f>
        <v>1.0162604882779711</v>
      </c>
      <c r="W76" s="111">
        <f>Table1123457[[#This Row],[M (KN.mm)]]/$G$77</f>
        <v>0.99118942731277537</v>
      </c>
      <c r="X76" s="111">
        <f t="shared" si="9"/>
        <v>1.0162604882779711</v>
      </c>
      <c r="Y76" s="111">
        <v>4050</v>
      </c>
      <c r="Z76" s="111">
        <v>1400</v>
      </c>
      <c r="AA76" s="111">
        <v>1475</v>
      </c>
      <c r="AB76" s="111">
        <v>300</v>
      </c>
      <c r="AC76" s="7">
        <v>40.299999999999997</v>
      </c>
      <c r="AD76" s="111">
        <f>Table1123457[[#This Row],[pho (%)]]*Table1123457[[#This Row],[b (mm)]]*Table1123457[[#This Row],[h (mm)]]/100</f>
        <v>3672.75</v>
      </c>
      <c r="AE76" s="160">
        <v>0.83</v>
      </c>
      <c r="AF76" s="160">
        <v>525</v>
      </c>
      <c r="AG76" s="111">
        <f>(1/3-0.21*(MIN(Table1123457[[#This Row],[b (mm)]],AA76)/MAX(Table1123457[[#This Row],[b (mm)]],AA76))*(MIN(Table1123457[[#This Row],[b (mm)]],AA76)^4/(12*MAX(Table1123457[[#This Row],[b (mm)]],AA76)^4)))*MAX(Table1123457[[#This Row],[b (mm)]],AA76)*MIN(Table1123457[[#This Row],[b (mm)]],AA76)^3</f>
        <v>13274757428.370747</v>
      </c>
      <c r="AH76" s="111">
        <f>Table1123457[[#This Row],[b (mm)]]*AA76^3/12</f>
        <v>80226171875</v>
      </c>
      <c r="AI76" s="111">
        <v>8100</v>
      </c>
      <c r="AK76" s="126"/>
    </row>
    <row r="77" spans="1:39" x14ac:dyDescent="0.25">
      <c r="A77" s="245" t="s">
        <v>152</v>
      </c>
      <c r="B77" s="161" t="s">
        <v>141</v>
      </c>
      <c r="C77" s="185">
        <v>76</v>
      </c>
      <c r="D77" s="185">
        <f>Table1123457[[#This Row],[a (mm)]]/Table1123457[[#This Row],[d (mm)]]</f>
        <v>2.8928571428571428</v>
      </c>
      <c r="E77" s="224">
        <v>454</v>
      </c>
      <c r="F77" s="137">
        <f>Table1123457[[#This Row],[d (mm)]]</f>
        <v>1400</v>
      </c>
      <c r="G77" s="111">
        <f t="shared" si="7"/>
        <v>1838700</v>
      </c>
      <c r="H77" s="135">
        <f t="shared" si="8"/>
        <v>8.7022613984194281E-7</v>
      </c>
      <c r="I77" s="135">
        <f>G77/(Table1123457[[#This Row],[b (mm)]]*Z77^2)</f>
        <v>3.1270408163265304E-3</v>
      </c>
      <c r="J77" s="135">
        <f t="shared" si="5"/>
        <v>0.68113338862193851</v>
      </c>
      <c r="K77" s="111">
        <f t="shared" si="6"/>
        <v>1.0891798817516471E-6</v>
      </c>
      <c r="L77" s="111">
        <f>E77/(Table1123457[[#This Row],[b (mm)]]*Z77)</f>
        <v>1.080952380952381E-3</v>
      </c>
      <c r="M77" s="111">
        <f>Table1123457[[#This Row],[M (KN.mm)]]/(Table1123457[[#This Row],[b (mm)]]*Table1123457[[#This Row],[d (mm)]])</f>
        <v>4.3778571428571427</v>
      </c>
      <c r="N77" s="111">
        <f>Table1123457[[#This Row],[M (KN.mm)]]/(Table1123457[[#This Row],[b (mm)]]*Table1123457[[#This Row],[h (mm)]])</f>
        <v>4.155254237288136</v>
      </c>
      <c r="O77" s="111">
        <f>Table1123457[[#This Row],[M (KN.mm)]]/(Table1123457[[#This Row],[b (mm)]]*Table1123457[[#This Row],[h (mm)]]*Table1123457[[#This Row],[L(mm)]])</f>
        <v>5.1299435028248587E-4</v>
      </c>
      <c r="P77" s="111">
        <f>Table1123457[[#This Row],[M (KN.mm)]]/(Table1123457[[#This Row],[b (mm)]]*Table1123457[[#This Row],[d (mm)]]*Table1123457[[#This Row],[L(mm)]])</f>
        <v>5.404761904761905E-4</v>
      </c>
      <c r="Q77" s="111">
        <f>Table1123457[[#This Row],[M (KN.mm)]]/(Table1123457[[#This Row],[b (mm)]]*Table1123457[[#This Row],[h (mm)]]*Table1123457[[#This Row],[L(mm)]]*Table1123457[[#This Row],[fc (Mpa)]])</f>
        <v>1.2729388344478558E-5</v>
      </c>
      <c r="R77" s="111">
        <f>Table1123457[[#This Row],[M (KN.mm)]]/(Table1123457[[#This Row],[b (mm)]]*Table1123457[[#This Row],[h (mm)]]*Table1123457[[#This Row],[L(mm)]]/2)</f>
        <v>1.0259887005649717E-3</v>
      </c>
      <c r="S77" s="111">
        <f>Table1123457[[#This Row],[M (KN.mm)]]/(Table1123457[[#This Row],[a (mm)]]*Table1123457[[#This Row],[b (mm)]]*Table1123457[[#This Row],[h (mm)]]*Table1123457[[#This Row],[L(mm)]]/2)</f>
        <v>2.5333054334937575E-7</v>
      </c>
      <c r="T77" s="111">
        <f>G77/($AL$5*AH77*0.001*Table1123457[[#This Row],[pho (%)]])</f>
        <v>1.0484652287252322E-6</v>
      </c>
      <c r="U77" s="111">
        <f>Table1123457[[#This Row],[M (KN.mm)]]/(Table1123457[[#This Row],[b (mm)]]*Table1123457[[#This Row],[d (mm)]]*Table1123457[[#This Row],[pho (%)]])</f>
        <v>5.274526678141136</v>
      </c>
      <c r="V77" s="111">
        <f>E77*224.8/(2*SQRT(Table1123457[[#This Row],[fc (Mpa)]]*145.037)*Table1123457[[#This Row],[b (mm)]]*Table1123457[[#This Row],[d (mm)]]*(1/25.4)^2)</f>
        <v>1.0252939148404421</v>
      </c>
      <c r="W77" s="111">
        <f>Table1123457[[#This Row],[M (KN.mm)]]/$G$77</f>
        <v>1</v>
      </c>
      <c r="X77" s="111">
        <f t="shared" si="9"/>
        <v>1.0252939148404421</v>
      </c>
      <c r="Y77" s="111">
        <v>4050</v>
      </c>
      <c r="Z77" s="111">
        <v>1400</v>
      </c>
      <c r="AA77" s="111">
        <v>1475</v>
      </c>
      <c r="AB77" s="111">
        <v>300</v>
      </c>
      <c r="AC77" s="7">
        <v>40.299999999999997</v>
      </c>
      <c r="AD77" s="111">
        <f>Table1123457[[#This Row],[pho (%)]]*Table1123457[[#This Row],[b (mm)]]*Table1123457[[#This Row],[h (mm)]]/100</f>
        <v>3672.75</v>
      </c>
      <c r="AE77" s="160">
        <v>0.83</v>
      </c>
      <c r="AF77" s="160">
        <v>525</v>
      </c>
      <c r="AG77" s="111">
        <f>(1/3-0.21*(MIN(Table1123457[[#This Row],[b (mm)]],AA77)/MAX(Table1123457[[#This Row],[b (mm)]],AA77))*(MIN(Table1123457[[#This Row],[b (mm)]],AA77)^4/(12*MAX(Table1123457[[#This Row],[b (mm)]],AA77)^4)))*MAX(Table1123457[[#This Row],[b (mm)]],AA77)*MIN(Table1123457[[#This Row],[b (mm)]],AA77)^3</f>
        <v>13274757428.370747</v>
      </c>
      <c r="AH77" s="111">
        <f>Table1123457[[#This Row],[b (mm)]]*AA77^3/12</f>
        <v>80226171875</v>
      </c>
      <c r="AI77" s="111">
        <v>8100</v>
      </c>
      <c r="AK77" s="126"/>
    </row>
    <row r="78" spans="1:39" x14ac:dyDescent="0.25">
      <c r="A78" s="246" t="s">
        <v>153</v>
      </c>
      <c r="B78" s="246">
        <v>1</v>
      </c>
      <c r="C78" s="185">
        <v>77</v>
      </c>
      <c r="D78" s="185">
        <f>Table1123457[[#This Row],[a (mm)]]/Table1123457[[#This Row],[d (mm)]]</f>
        <v>2.8928571428571428</v>
      </c>
      <c r="E78" s="247">
        <v>187</v>
      </c>
      <c r="F78" s="137">
        <f>Table1123457[[#This Row],[d (mm)]]</f>
        <v>1400</v>
      </c>
      <c r="G78" s="111">
        <f t="shared" si="7"/>
        <v>757350</v>
      </c>
      <c r="H78" s="135">
        <f t="shared" si="8"/>
        <v>3.5844116332696764E-7</v>
      </c>
      <c r="I78" s="135">
        <f>G78/(Table1123457[[#This Row],[b (mm)]]*Z78^2)</f>
        <v>1.2880102040816327E-3</v>
      </c>
      <c r="J78" s="135">
        <f>G78/(AD78*AF78*Z78*0.001)</f>
        <v>0.28055494200947684</v>
      </c>
      <c r="K78" s="111">
        <f t="shared" si="6"/>
        <v>4.4862695569946703E-7</v>
      </c>
      <c r="L78" s="111">
        <f>E78/(Table1123457[[#This Row],[b (mm)]]*Z78)</f>
        <v>4.4523809523809522E-4</v>
      </c>
      <c r="M78" s="111">
        <f>Table1123457[[#This Row],[M (KN.mm)]]/(Table1123457[[#This Row],[b (mm)]]*Table1123457[[#This Row],[d (mm)]])</f>
        <v>1.8032142857142857</v>
      </c>
      <c r="N78" s="111">
        <f>Table1123457[[#This Row],[M (KN.mm)]]/(Table1123457[[#This Row],[b (mm)]]*Table1123457[[#This Row],[h (mm)]])</f>
        <v>1.7115254237288136</v>
      </c>
      <c r="O78" s="111">
        <f>Table1123457[[#This Row],[M (KN.mm)]]/(Table1123457[[#This Row],[b (mm)]]*Table1123457[[#This Row],[h (mm)]]*Table1123457[[#This Row],[L(mm)]])</f>
        <v>2.1129943502824858E-4</v>
      </c>
      <c r="P78" s="111">
        <f>Table1123457[[#This Row],[M (KN.mm)]]/(Table1123457[[#This Row],[b (mm)]]*Table1123457[[#This Row],[d (mm)]]*Table1123457[[#This Row],[L(mm)]])</f>
        <v>2.2261904761904761E-4</v>
      </c>
      <c r="Q78" s="111">
        <f>Table1123457[[#This Row],[M (KN.mm)]]/(Table1123457[[#This Row],[b (mm)]]*Table1123457[[#This Row],[h (mm)]]*Table1123457[[#This Row],[L(mm)]]*Table1123457[[#This Row],[fc (Mpa)]])</f>
        <v>2.8709162367968563E-6</v>
      </c>
      <c r="R78" s="111">
        <f>Table1123457[[#This Row],[M (KN.mm)]]/(Table1123457[[#This Row],[b (mm)]]*Table1123457[[#This Row],[h (mm)]]*Table1123457[[#This Row],[L(mm)]]/2)</f>
        <v>4.2259887005649717E-4</v>
      </c>
      <c r="S78" s="111">
        <f>Table1123457[[#This Row],[M (KN.mm)]]/(Table1123457[[#This Row],[a (mm)]]*Table1123457[[#This Row],[b (mm)]]*Table1123457[[#This Row],[h (mm)]]*Table1123457[[#This Row],[L(mm)]]/2)</f>
        <v>1.0434540001394993E-7</v>
      </c>
      <c r="T78" s="111">
        <f>G78/($AL$5*AH78*0.001*Table1123457[[#This Row],[pho (%)]])</f>
        <v>4.3185682328550317E-7</v>
      </c>
      <c r="U78" s="111">
        <f>Table1123457[[#This Row],[M (KN.mm)]]/(Table1123457[[#This Row],[b (mm)]]*Table1123457[[#This Row],[d (mm)]]*Table1123457[[#This Row],[pho (%)]])</f>
        <v>2.1725473321858866</v>
      </c>
      <c r="V78" s="111">
        <f>E78*224.8/(2*SQRT(Table1123457[[#This Row],[fc (Mpa)]]*145.037)*Table1123457[[#This Row],[b (mm)]]*Table1123457[[#This Row],[d (mm)]]*(1/25.4)^2)</f>
        <v>0.3124983649730777</v>
      </c>
      <c r="W78" s="111">
        <f>Table1123457[[#This Row],[M (KN.mm)]]/$G$83</f>
        <v>0.35961538461538461</v>
      </c>
      <c r="X78" s="111">
        <f t="shared" si="9"/>
        <v>0.3124983649730777</v>
      </c>
      <c r="Y78" s="111">
        <v>4050</v>
      </c>
      <c r="Z78" s="111">
        <v>1400</v>
      </c>
      <c r="AA78" s="111">
        <v>1475</v>
      </c>
      <c r="AB78" s="111">
        <v>300</v>
      </c>
      <c r="AC78" s="7">
        <v>73.599999999999994</v>
      </c>
      <c r="AD78" s="111">
        <f>Table1123457[[#This Row],[pho (%)]]*Table1123457[[#This Row],[b (mm)]]*Table1123457[[#This Row],[h (mm)]]/100</f>
        <v>3672.75</v>
      </c>
      <c r="AE78" s="160">
        <v>0.83</v>
      </c>
      <c r="AF78" s="160">
        <v>525</v>
      </c>
      <c r="AG78" s="111">
        <f>(1/3-0.21*(MIN(Table1123457[[#This Row],[b (mm)]],AA78)/MAX(Table1123457[[#This Row],[b (mm)]],AA78))*(MIN(Table1123457[[#This Row],[b (mm)]],AA78)^4/(12*MAX(Table1123457[[#This Row],[b (mm)]],AA78)^4)))*MAX(Table1123457[[#This Row],[b (mm)]],AA78)*MIN(Table1123457[[#This Row],[b (mm)]],AA78)^3</f>
        <v>13274757428.370747</v>
      </c>
      <c r="AH78" s="111">
        <f>Table1123457[[#This Row],[b (mm)]]*AA78^3/12</f>
        <v>80226171875</v>
      </c>
      <c r="AI78" s="111">
        <v>8100</v>
      </c>
      <c r="AK78" s="149"/>
      <c r="AL78" s="139"/>
      <c r="AM78" s="139"/>
    </row>
    <row r="79" spans="1:39" x14ac:dyDescent="0.25">
      <c r="A79" s="246" t="s">
        <v>153</v>
      </c>
      <c r="B79" s="246">
        <v>2</v>
      </c>
      <c r="C79" s="185">
        <v>78</v>
      </c>
      <c r="D79" s="185">
        <f>Table1123457[[#This Row],[a (mm)]]/Table1123457[[#This Row],[d (mm)]]</f>
        <v>2.8928571428571428</v>
      </c>
      <c r="E79" s="247">
        <v>225</v>
      </c>
      <c r="F79" s="137">
        <f>Table1123457[[#This Row],[d (mm)]]</f>
        <v>1400</v>
      </c>
      <c r="G79" s="111">
        <f t="shared" si="7"/>
        <v>911250</v>
      </c>
      <c r="H79" s="135">
        <f t="shared" si="8"/>
        <v>4.3127947459127122E-7</v>
      </c>
      <c r="I79" s="135">
        <f>G79/(Table1123457[[#This Row],[b (mm)]]*Z79^2)</f>
        <v>1.5497448979591836E-3</v>
      </c>
      <c r="J79" s="135">
        <f t="shared" ref="J79:J89" si="10">G79/(AD79*AF79*Z79*0.001)</f>
        <v>0.3375661066958946</v>
      </c>
      <c r="K79" s="111">
        <f t="shared" si="6"/>
        <v>5.3979179161700577E-7</v>
      </c>
      <c r="L79" s="111">
        <f>E79/(Table1123457[[#This Row],[b (mm)]]*Z79)</f>
        <v>5.3571428571428574E-4</v>
      </c>
      <c r="M79" s="111">
        <f>Table1123457[[#This Row],[M (KN.mm)]]/(Table1123457[[#This Row],[b (mm)]]*Table1123457[[#This Row],[d (mm)]])</f>
        <v>2.1696428571428572</v>
      </c>
      <c r="N79" s="111">
        <f>Table1123457[[#This Row],[M (KN.mm)]]/(Table1123457[[#This Row],[b (mm)]]*Table1123457[[#This Row],[h (mm)]])</f>
        <v>2.0593220338983049</v>
      </c>
      <c r="O79" s="111">
        <f>Table1123457[[#This Row],[M (KN.mm)]]/(Table1123457[[#This Row],[b (mm)]]*Table1123457[[#This Row],[h (mm)]]*Table1123457[[#This Row],[L(mm)]])</f>
        <v>2.5423728813559322E-4</v>
      </c>
      <c r="P79" s="111">
        <f>Table1123457[[#This Row],[M (KN.mm)]]/(Table1123457[[#This Row],[b (mm)]]*Table1123457[[#This Row],[d (mm)]]*Table1123457[[#This Row],[L(mm)]])</f>
        <v>2.6785714285714287E-4</v>
      </c>
      <c r="Q79" s="111">
        <f>Table1123457[[#This Row],[M (KN.mm)]]/(Table1123457[[#This Row],[b (mm)]]*Table1123457[[#This Row],[h (mm)]]*Table1123457[[#This Row],[L(mm)]]*Table1123457[[#This Row],[fc (Mpa)]])</f>
        <v>3.4543109801031692E-6</v>
      </c>
      <c r="R79" s="111">
        <f>Table1123457[[#This Row],[M (KN.mm)]]/(Table1123457[[#This Row],[b (mm)]]*Table1123457[[#This Row],[h (mm)]]*Table1123457[[#This Row],[L(mm)]]/2)</f>
        <v>5.0847457627118645E-4</v>
      </c>
      <c r="S79" s="111">
        <f>Table1123457[[#This Row],[M (KN.mm)]]/(Table1123457[[#This Row],[a (mm)]]*Table1123457[[#This Row],[b (mm)]]*Table1123457[[#This Row],[h (mm)]]*Table1123457[[#This Row],[L(mm)]]/2)</f>
        <v>1.2554927809165096E-7</v>
      </c>
      <c r="T79" s="111">
        <f>G79/($AL$5*AH79*0.001*Table1123457[[#This Row],[pho (%)]])</f>
        <v>5.1961382480876054E-7</v>
      </c>
      <c r="U79" s="111">
        <f>Table1123457[[#This Row],[M (KN.mm)]]/(Table1123457[[#This Row],[b (mm)]]*Table1123457[[#This Row],[d (mm)]]*Table1123457[[#This Row],[pho (%)]])</f>
        <v>2.6140275387263339</v>
      </c>
      <c r="V79" s="111">
        <f>E79*224.8/(2*SQRT(Table1123457[[#This Row],[fc (Mpa)]]*145.037)*Table1123457[[#This Row],[b (mm)]]*Table1123457[[#This Row],[d (mm)]]*(1/25.4)^2)</f>
        <v>0.37600070651840906</v>
      </c>
      <c r="W79" s="111">
        <f>Table1123457[[#This Row],[M (KN.mm)]]/$G$83</f>
        <v>0.43269230769230771</v>
      </c>
      <c r="X79" s="111">
        <f t="shared" si="9"/>
        <v>0.37600070651840906</v>
      </c>
      <c r="Y79" s="111">
        <v>4050</v>
      </c>
      <c r="Z79" s="111">
        <v>1400</v>
      </c>
      <c r="AA79" s="111">
        <v>1475</v>
      </c>
      <c r="AB79" s="111">
        <v>300</v>
      </c>
      <c r="AC79" s="7">
        <v>73.599999999999994</v>
      </c>
      <c r="AD79" s="111">
        <f>Table1123457[[#This Row],[pho (%)]]*Table1123457[[#This Row],[b (mm)]]*Table1123457[[#This Row],[h (mm)]]/100</f>
        <v>3672.75</v>
      </c>
      <c r="AE79" s="160">
        <v>0.83</v>
      </c>
      <c r="AF79" s="160">
        <v>525</v>
      </c>
      <c r="AG79" s="111">
        <f>(1/3-0.21*(MIN(Table1123457[[#This Row],[b (mm)]],AA79)/MAX(Table1123457[[#This Row],[b (mm)]],AA79))*(MIN(Table1123457[[#This Row],[b (mm)]],AA79)^4/(12*MAX(Table1123457[[#This Row],[b (mm)]],AA79)^4)))*MAX(Table1123457[[#This Row],[b (mm)]],AA79)*MIN(Table1123457[[#This Row],[b (mm)]],AA79)^3</f>
        <v>13274757428.370747</v>
      </c>
      <c r="AH79" s="111">
        <f>Table1123457[[#This Row],[b (mm)]]*AA79^3/12</f>
        <v>80226171875</v>
      </c>
      <c r="AI79" s="111">
        <v>8100</v>
      </c>
      <c r="AK79" s="126"/>
    </row>
    <row r="80" spans="1:39" x14ac:dyDescent="0.25">
      <c r="A80" s="246" t="s">
        <v>153</v>
      </c>
      <c r="B80" s="246">
        <v>3</v>
      </c>
      <c r="C80" s="185">
        <v>79</v>
      </c>
      <c r="D80" s="185">
        <f>Table1123457[[#This Row],[a (mm)]]/Table1123457[[#This Row],[d (mm)]]</f>
        <v>2.8928571428571428</v>
      </c>
      <c r="E80" s="247">
        <v>350</v>
      </c>
      <c r="F80" s="137">
        <f>Table1123457[[#This Row],[d (mm)]]</f>
        <v>1400</v>
      </c>
      <c r="G80" s="111">
        <f t="shared" si="7"/>
        <v>1417500</v>
      </c>
      <c r="H80" s="135">
        <f t="shared" si="8"/>
        <v>6.7087918269753299E-7</v>
      </c>
      <c r="I80" s="135">
        <f>G80/(Table1123457[[#This Row],[b (mm)]]*Z80^2)</f>
        <v>2.4107142857142856E-3</v>
      </c>
      <c r="J80" s="135">
        <f t="shared" si="10"/>
        <v>0.52510283263805824</v>
      </c>
      <c r="K80" s="111">
        <f t="shared" si="6"/>
        <v>8.3967612029312006E-7</v>
      </c>
      <c r="L80" s="111">
        <f>E80/(Table1123457[[#This Row],[b (mm)]]*Z80)</f>
        <v>8.3333333333333339E-4</v>
      </c>
      <c r="M80" s="111">
        <f>Table1123457[[#This Row],[M (KN.mm)]]/(Table1123457[[#This Row],[b (mm)]]*Table1123457[[#This Row],[d (mm)]])</f>
        <v>3.375</v>
      </c>
      <c r="N80" s="111">
        <f>Table1123457[[#This Row],[M (KN.mm)]]/(Table1123457[[#This Row],[b (mm)]]*Table1123457[[#This Row],[h (mm)]])</f>
        <v>3.2033898305084745</v>
      </c>
      <c r="O80" s="111">
        <f>Table1123457[[#This Row],[M (KN.mm)]]/(Table1123457[[#This Row],[b (mm)]]*Table1123457[[#This Row],[h (mm)]]*Table1123457[[#This Row],[L(mm)]])</f>
        <v>3.9548022598870055E-4</v>
      </c>
      <c r="P80" s="111">
        <f>Table1123457[[#This Row],[M (KN.mm)]]/(Table1123457[[#This Row],[b (mm)]]*Table1123457[[#This Row],[d (mm)]]*Table1123457[[#This Row],[L(mm)]])</f>
        <v>4.1666666666666669E-4</v>
      </c>
      <c r="Q80" s="111">
        <f>Table1123457[[#This Row],[M (KN.mm)]]/(Table1123457[[#This Row],[b (mm)]]*Table1123457[[#This Row],[h (mm)]]*Table1123457[[#This Row],[L(mm)]]*Table1123457[[#This Row],[fc (Mpa)]])</f>
        <v>5.373372635716041E-6</v>
      </c>
      <c r="R80" s="111">
        <f>Table1123457[[#This Row],[M (KN.mm)]]/(Table1123457[[#This Row],[b (mm)]]*Table1123457[[#This Row],[h (mm)]]*Table1123457[[#This Row],[L(mm)]]/2)</f>
        <v>7.9096045197740109E-4</v>
      </c>
      <c r="S80" s="111">
        <f>Table1123457[[#This Row],[M (KN.mm)]]/(Table1123457[[#This Row],[a (mm)]]*Table1123457[[#This Row],[b (mm)]]*Table1123457[[#This Row],[h (mm)]]*Table1123457[[#This Row],[L(mm)]]/2)</f>
        <v>1.9529887703145707E-7</v>
      </c>
      <c r="T80" s="111">
        <f>G80/($AL$5*AH80*0.001*Table1123457[[#This Row],[pho (%)]])</f>
        <v>8.0828817192473861E-7</v>
      </c>
      <c r="U80" s="111">
        <f>Table1123457[[#This Row],[M (KN.mm)]]/(Table1123457[[#This Row],[b (mm)]]*Table1123457[[#This Row],[d (mm)]]*Table1123457[[#This Row],[pho (%)]])</f>
        <v>4.0662650602409638</v>
      </c>
      <c r="V80" s="111">
        <f>E80*224.8/(2*SQRT(Table1123457[[#This Row],[fc (Mpa)]]*145.037)*Table1123457[[#This Row],[b (mm)]]*Table1123457[[#This Row],[d (mm)]]*(1/25.4)^2)</f>
        <v>0.58488998791752511</v>
      </c>
      <c r="W80" s="111">
        <f>Table1123457[[#This Row],[M (KN.mm)]]/$G$83</f>
        <v>0.67307692307692313</v>
      </c>
      <c r="X80" s="111">
        <f t="shared" si="9"/>
        <v>0.58488998791752511</v>
      </c>
      <c r="Y80" s="111">
        <v>4050</v>
      </c>
      <c r="Z80" s="111">
        <v>1400</v>
      </c>
      <c r="AA80" s="111">
        <v>1475</v>
      </c>
      <c r="AB80" s="111">
        <v>300</v>
      </c>
      <c r="AC80" s="7">
        <v>73.599999999999994</v>
      </c>
      <c r="AD80" s="111">
        <f>Table1123457[[#This Row],[pho (%)]]*Table1123457[[#This Row],[b (mm)]]*Table1123457[[#This Row],[h (mm)]]/100</f>
        <v>3672.75</v>
      </c>
      <c r="AE80" s="160">
        <v>0.83</v>
      </c>
      <c r="AF80" s="160">
        <v>525</v>
      </c>
      <c r="AG80" s="111">
        <f>(1/3-0.21*(MIN(Table1123457[[#This Row],[b (mm)]],AA80)/MAX(Table1123457[[#This Row],[b (mm)]],AA80))*(MIN(Table1123457[[#This Row],[b (mm)]],AA80)^4/(12*MAX(Table1123457[[#This Row],[b (mm)]],AA80)^4)))*MAX(Table1123457[[#This Row],[b (mm)]],AA80)*MIN(Table1123457[[#This Row],[b (mm)]],AA80)^3</f>
        <v>13274757428.370747</v>
      </c>
      <c r="AH80" s="111">
        <f>Table1123457[[#This Row],[b (mm)]]*AA80^3/12</f>
        <v>80226171875</v>
      </c>
      <c r="AI80" s="111">
        <v>8100</v>
      </c>
      <c r="AK80" s="126"/>
    </row>
    <row r="81" spans="1:39" x14ac:dyDescent="0.25">
      <c r="A81" s="246" t="s">
        <v>153</v>
      </c>
      <c r="B81" s="246">
        <v>4</v>
      </c>
      <c r="C81" s="185">
        <v>80</v>
      </c>
      <c r="D81" s="185">
        <f>Table1123457[[#This Row],[a (mm)]]/Table1123457[[#This Row],[d (mm)]]</f>
        <v>2.8928571428571428</v>
      </c>
      <c r="E81" s="247">
        <v>420</v>
      </c>
      <c r="F81" s="137">
        <f>Table1123457[[#This Row],[d (mm)]]</f>
        <v>1400</v>
      </c>
      <c r="G81" s="111">
        <f t="shared" si="7"/>
        <v>1701000</v>
      </c>
      <c r="H81" s="135">
        <f t="shared" si="8"/>
        <v>8.0505501923703954E-7</v>
      </c>
      <c r="I81" s="135">
        <f>G81/(Table1123457[[#This Row],[b (mm)]]*Z81^2)</f>
        <v>2.8928571428571428E-3</v>
      </c>
      <c r="J81" s="135">
        <f t="shared" si="10"/>
        <v>0.63012339916566995</v>
      </c>
      <c r="K81" s="111">
        <f t="shared" si="6"/>
        <v>1.0076113443517442E-6</v>
      </c>
      <c r="L81" s="111">
        <f>E81/(Table1123457[[#This Row],[b (mm)]]*Z81)</f>
        <v>1E-3</v>
      </c>
      <c r="M81" s="111">
        <f>Table1123457[[#This Row],[M (KN.mm)]]/(Table1123457[[#This Row],[b (mm)]]*Table1123457[[#This Row],[d (mm)]])</f>
        <v>4.05</v>
      </c>
      <c r="N81" s="111">
        <f>Table1123457[[#This Row],[M (KN.mm)]]/(Table1123457[[#This Row],[b (mm)]]*Table1123457[[#This Row],[h (mm)]])</f>
        <v>3.8440677966101693</v>
      </c>
      <c r="O81" s="111">
        <f>Table1123457[[#This Row],[M (KN.mm)]]/(Table1123457[[#This Row],[b (mm)]]*Table1123457[[#This Row],[h (mm)]]*Table1123457[[#This Row],[L(mm)]])</f>
        <v>4.745762711864407E-4</v>
      </c>
      <c r="P81" s="111">
        <f>Table1123457[[#This Row],[M (KN.mm)]]/(Table1123457[[#This Row],[b (mm)]]*Table1123457[[#This Row],[d (mm)]]*Table1123457[[#This Row],[L(mm)]])</f>
        <v>5.0000000000000001E-4</v>
      </c>
      <c r="Q81" s="111">
        <f>Table1123457[[#This Row],[M (KN.mm)]]/(Table1123457[[#This Row],[b (mm)]]*Table1123457[[#This Row],[h (mm)]]*Table1123457[[#This Row],[L(mm)]]*Table1123457[[#This Row],[fc (Mpa)]])</f>
        <v>6.4480471628592494E-6</v>
      </c>
      <c r="R81" s="111">
        <f>Table1123457[[#This Row],[M (KN.mm)]]/(Table1123457[[#This Row],[b (mm)]]*Table1123457[[#This Row],[h (mm)]]*Table1123457[[#This Row],[L(mm)]]/2)</f>
        <v>9.491525423728814E-4</v>
      </c>
      <c r="S81" s="111">
        <f>Table1123457[[#This Row],[M (KN.mm)]]/(Table1123457[[#This Row],[a (mm)]]*Table1123457[[#This Row],[b (mm)]]*Table1123457[[#This Row],[h (mm)]]*Table1123457[[#This Row],[L(mm)]]/2)</f>
        <v>2.3435865243774848E-7</v>
      </c>
      <c r="T81" s="111">
        <f>G81/($AL$5*AH81*0.001*Table1123457[[#This Row],[pho (%)]])</f>
        <v>9.6994580630968621E-7</v>
      </c>
      <c r="U81" s="111">
        <f>Table1123457[[#This Row],[M (KN.mm)]]/(Table1123457[[#This Row],[b (mm)]]*Table1123457[[#This Row],[d (mm)]]*Table1123457[[#This Row],[pho (%)]])</f>
        <v>4.8795180722891569</v>
      </c>
      <c r="V81" s="111">
        <f>E81*224.8/(2*SQRT(Table1123457[[#This Row],[fc (Mpa)]]*145.037)*Table1123457[[#This Row],[b (mm)]]*Table1123457[[#This Row],[d (mm)]]*(1/25.4)^2)</f>
        <v>0.70186798550103013</v>
      </c>
      <c r="W81" s="111">
        <f>Table1123457[[#This Row],[M (KN.mm)]]/$G$83</f>
        <v>0.80769230769230771</v>
      </c>
      <c r="X81" s="111">
        <f t="shared" si="9"/>
        <v>0.70186798550103013</v>
      </c>
      <c r="Y81" s="111">
        <v>4050</v>
      </c>
      <c r="Z81" s="111">
        <v>1400</v>
      </c>
      <c r="AA81" s="111">
        <v>1475</v>
      </c>
      <c r="AB81" s="111">
        <v>300</v>
      </c>
      <c r="AC81" s="7">
        <v>73.599999999999994</v>
      </c>
      <c r="AD81" s="111">
        <f>Table1123457[[#This Row],[pho (%)]]*Table1123457[[#This Row],[b (mm)]]*Table1123457[[#This Row],[h (mm)]]/100</f>
        <v>3672.75</v>
      </c>
      <c r="AE81" s="160">
        <v>0.83</v>
      </c>
      <c r="AF81" s="160">
        <v>525</v>
      </c>
      <c r="AG81" s="111">
        <f>(1/3-0.21*(MIN(Table1123457[[#This Row],[b (mm)]],AA81)/MAX(Table1123457[[#This Row],[b (mm)]],AA81))*(MIN(Table1123457[[#This Row],[b (mm)]],AA81)^4/(12*MAX(Table1123457[[#This Row],[b (mm)]],AA81)^4)))*MAX(Table1123457[[#This Row],[b (mm)]],AA81)*MIN(Table1123457[[#This Row],[b (mm)]],AA81)^3</f>
        <v>13274757428.370747</v>
      </c>
      <c r="AH81" s="111">
        <f>Table1123457[[#This Row],[b (mm)]]*AA81^3/12</f>
        <v>80226171875</v>
      </c>
      <c r="AI81" s="111">
        <v>8100</v>
      </c>
      <c r="AK81" s="126"/>
    </row>
    <row r="82" spans="1:39" x14ac:dyDescent="0.25">
      <c r="A82" s="246" t="s">
        <v>153</v>
      </c>
      <c r="B82" s="246">
        <v>5</v>
      </c>
      <c r="C82" s="185">
        <v>81</v>
      </c>
      <c r="D82" s="185">
        <f>Table1123457[[#This Row],[a (mm)]]/Table1123457[[#This Row],[d (mm)]]</f>
        <v>2.8928571428571428</v>
      </c>
      <c r="E82" s="247">
        <v>449</v>
      </c>
      <c r="F82" s="137">
        <f>Table1123457[[#This Row],[d (mm)]]</f>
        <v>1400</v>
      </c>
      <c r="G82" s="111">
        <f t="shared" si="7"/>
        <v>1818450</v>
      </c>
      <c r="H82" s="135">
        <f t="shared" si="8"/>
        <v>8.6064215151769233E-7</v>
      </c>
      <c r="I82" s="135">
        <f>G82/(Table1123457[[#This Row],[b (mm)]]*Z82^2)</f>
        <v>3.0926020408163267E-3</v>
      </c>
      <c r="J82" s="135">
        <f t="shared" si="10"/>
        <v>0.67363191958425195</v>
      </c>
      <c r="K82" s="111">
        <f t="shared" si="6"/>
        <v>1.0771845086046025E-6</v>
      </c>
      <c r="L82" s="111">
        <f>E82/(Table1123457[[#This Row],[b (mm)]]*Z82)</f>
        <v>1.069047619047619E-3</v>
      </c>
      <c r="M82" s="111">
        <f>Table1123457[[#This Row],[M (KN.mm)]]/(Table1123457[[#This Row],[b (mm)]]*Table1123457[[#This Row],[d (mm)]])</f>
        <v>4.3296428571428569</v>
      </c>
      <c r="N82" s="111">
        <f>Table1123457[[#This Row],[M (KN.mm)]]/(Table1123457[[#This Row],[b (mm)]]*Table1123457[[#This Row],[h (mm)]])</f>
        <v>4.1094915254237288</v>
      </c>
      <c r="O82" s="111">
        <f>Table1123457[[#This Row],[M (KN.mm)]]/(Table1123457[[#This Row],[b (mm)]]*Table1123457[[#This Row],[h (mm)]]*Table1123457[[#This Row],[L(mm)]])</f>
        <v>5.0734463276836154E-4</v>
      </c>
      <c r="P82" s="111">
        <f>Table1123457[[#This Row],[M (KN.mm)]]/(Table1123457[[#This Row],[b (mm)]]*Table1123457[[#This Row],[d (mm)]]*Table1123457[[#This Row],[L(mm)]])</f>
        <v>5.345238095238095E-4</v>
      </c>
      <c r="Q82" s="111">
        <f>Table1123457[[#This Row],[M (KN.mm)]]/(Table1123457[[#This Row],[b (mm)]]*Table1123457[[#This Row],[h (mm)]]*Table1123457[[#This Row],[L(mm)]]*Table1123457[[#This Row],[fc (Mpa)]])</f>
        <v>6.8932694669614355E-6</v>
      </c>
      <c r="R82" s="111">
        <f>Table1123457[[#This Row],[M (KN.mm)]]/(Table1123457[[#This Row],[b (mm)]]*Table1123457[[#This Row],[h (mm)]]*Table1123457[[#This Row],[L(mm)]]/2)</f>
        <v>1.0146892655367231E-3</v>
      </c>
      <c r="S82" s="111">
        <f>Table1123457[[#This Row],[M (KN.mm)]]/(Table1123457[[#This Row],[a (mm)]]*Table1123457[[#This Row],[b (mm)]]*Table1123457[[#This Row],[h (mm)]]*Table1123457[[#This Row],[L(mm)]]/2)</f>
        <v>2.5054055939178348E-7</v>
      </c>
      <c r="T82" s="111">
        <f>G82/($AL$5*AH82*0.001*Table1123457[[#This Row],[pho (%)]])</f>
        <v>1.0369182548405933E-6</v>
      </c>
      <c r="U82" s="111">
        <f>Table1123457[[#This Row],[M (KN.mm)]]/(Table1123457[[#This Row],[b (mm)]]*Table1123457[[#This Row],[d (mm)]]*Table1123457[[#This Row],[pho (%)]])</f>
        <v>5.2164371772805511</v>
      </c>
      <c r="V82" s="111">
        <f>E82*224.8/(2*SQRT(Table1123457[[#This Row],[fc (Mpa)]]*145.037)*Table1123457[[#This Row],[b (mm)]]*Table1123457[[#This Row],[d (mm)]]*(1/25.4)^2)</f>
        <v>0.75033029878562518</v>
      </c>
      <c r="W82" s="111">
        <f>Table1123457[[#This Row],[M (KN.mm)]]/$G$83</f>
        <v>0.8634615384615385</v>
      </c>
      <c r="X82" s="111">
        <f t="shared" si="9"/>
        <v>0.75033029878562518</v>
      </c>
      <c r="Y82" s="111">
        <v>4050</v>
      </c>
      <c r="Z82" s="111">
        <v>1400</v>
      </c>
      <c r="AA82" s="111">
        <v>1475</v>
      </c>
      <c r="AB82" s="111">
        <v>300</v>
      </c>
      <c r="AC82" s="7">
        <v>73.599999999999994</v>
      </c>
      <c r="AD82" s="111">
        <f>Table1123457[[#This Row],[pho (%)]]*Table1123457[[#This Row],[b (mm)]]*Table1123457[[#This Row],[h (mm)]]/100</f>
        <v>3672.75</v>
      </c>
      <c r="AE82" s="160">
        <v>0.83</v>
      </c>
      <c r="AF82" s="160">
        <v>525</v>
      </c>
      <c r="AG82" s="111">
        <f>(1/3-0.21*(MIN(Table1123457[[#This Row],[b (mm)]],AA82)/MAX(Table1123457[[#This Row],[b (mm)]],AA82))*(MIN(Table1123457[[#This Row],[b (mm)]],AA82)^4/(12*MAX(Table1123457[[#This Row],[b (mm)]],AA82)^4)))*MAX(Table1123457[[#This Row],[b (mm)]],AA82)*MIN(Table1123457[[#This Row],[b (mm)]],AA82)^3</f>
        <v>13274757428.370747</v>
      </c>
      <c r="AH82" s="111">
        <f>Table1123457[[#This Row],[b (mm)]]*AA82^3/12</f>
        <v>80226171875</v>
      </c>
      <c r="AI82" s="111">
        <v>8100</v>
      </c>
      <c r="AK82" s="126"/>
    </row>
    <row r="83" spans="1:39" x14ac:dyDescent="0.25">
      <c r="A83" s="246" t="s">
        <v>153</v>
      </c>
      <c r="B83" s="246" t="s">
        <v>141</v>
      </c>
      <c r="C83" s="185">
        <v>82</v>
      </c>
      <c r="D83" s="185">
        <f>Table1123457[[#This Row],[a (mm)]]/Table1123457[[#This Row],[d (mm)]]</f>
        <v>2.8928571428571428</v>
      </c>
      <c r="E83" s="247">
        <v>520</v>
      </c>
      <c r="F83" s="137">
        <f>Table1123457[[#This Row],[d (mm)]]</f>
        <v>1400</v>
      </c>
      <c r="G83" s="111">
        <f t="shared" si="7"/>
        <v>2106000</v>
      </c>
      <c r="H83" s="135">
        <f t="shared" si="8"/>
        <v>9.96734785722049E-7</v>
      </c>
      <c r="I83" s="135">
        <f>G83/(Table1123457[[#This Row],[b (mm)]]*Z83^2)</f>
        <v>3.5816326530612244E-3</v>
      </c>
      <c r="J83" s="135">
        <f t="shared" si="10"/>
        <v>0.78015277991940091</v>
      </c>
      <c r="K83" s="111">
        <f t="shared" si="6"/>
        <v>1.2475188072926355E-6</v>
      </c>
      <c r="L83" s="111">
        <f>E83/(Table1123457[[#This Row],[b (mm)]]*Z83)</f>
        <v>1.238095238095238E-3</v>
      </c>
      <c r="M83" s="111">
        <f>Table1123457[[#This Row],[M (KN.mm)]]/(Table1123457[[#This Row],[b (mm)]]*Table1123457[[#This Row],[d (mm)]])</f>
        <v>5.0142857142857142</v>
      </c>
      <c r="N83" s="111">
        <f>Table1123457[[#This Row],[M (KN.mm)]]/(Table1123457[[#This Row],[b (mm)]]*Table1123457[[#This Row],[h (mm)]])</f>
        <v>4.7593220338983047</v>
      </c>
      <c r="O83" s="111">
        <f>Table1123457[[#This Row],[M (KN.mm)]]/(Table1123457[[#This Row],[b (mm)]]*Table1123457[[#This Row],[h (mm)]]*Table1123457[[#This Row],[L(mm)]])</f>
        <v>5.875706214689266E-4</v>
      </c>
      <c r="P83" s="111">
        <f>Table1123457[[#This Row],[M (KN.mm)]]/(Table1123457[[#This Row],[b (mm)]]*Table1123457[[#This Row],[d (mm)]]*Table1123457[[#This Row],[L(mm)]])</f>
        <v>6.19047619047619E-4</v>
      </c>
      <c r="Q83" s="111">
        <f>Table1123457[[#This Row],[M (KN.mm)]]/(Table1123457[[#This Row],[b (mm)]]*Table1123457[[#This Row],[h (mm)]]*Table1123457[[#This Row],[L(mm)]]*Table1123457[[#This Row],[fc (Mpa)]])</f>
        <v>7.9832964873495467E-6</v>
      </c>
      <c r="R83" s="111">
        <f>Table1123457[[#This Row],[M (KN.mm)]]/(Table1123457[[#This Row],[b (mm)]]*Table1123457[[#This Row],[h (mm)]]*Table1123457[[#This Row],[L(mm)]]/2)</f>
        <v>1.1751412429378532E-3</v>
      </c>
      <c r="S83" s="111">
        <f>Table1123457[[#This Row],[M (KN.mm)]]/(Table1123457[[#This Row],[a (mm)]]*Table1123457[[#This Row],[b (mm)]]*Table1123457[[#This Row],[h (mm)]]*Table1123457[[#This Row],[L(mm)]]/2)</f>
        <v>2.9015833158959336E-7</v>
      </c>
      <c r="T83" s="111">
        <f>G83/($AL$5*AH83*0.001*Table1123457[[#This Row],[pho (%)]])</f>
        <v>1.2008852840024687E-6</v>
      </c>
      <c r="U83" s="111">
        <f>Table1123457[[#This Row],[M (KN.mm)]]/(Table1123457[[#This Row],[b (mm)]]*Table1123457[[#This Row],[d (mm)]]*Table1123457[[#This Row],[pho (%)]])</f>
        <v>6.0413080895008608</v>
      </c>
      <c r="V83" s="111">
        <f>E83*224.8/(2*SQRT(Table1123457[[#This Row],[fc (Mpa)]]*145.037)*Table1123457[[#This Row],[b (mm)]]*Table1123457[[#This Row],[d (mm)]]*(1/25.4)^2)</f>
        <v>0.86897941062032313</v>
      </c>
      <c r="W83" s="111">
        <f>Table1123457[[#This Row],[M (KN.mm)]]/$G$83</f>
        <v>1</v>
      </c>
      <c r="X83" s="111">
        <f t="shared" si="9"/>
        <v>0.86897941062032313</v>
      </c>
      <c r="Y83" s="111">
        <v>4050</v>
      </c>
      <c r="Z83" s="111">
        <v>1400</v>
      </c>
      <c r="AA83" s="111">
        <v>1475</v>
      </c>
      <c r="AB83" s="111">
        <v>300</v>
      </c>
      <c r="AC83" s="7">
        <v>73.599999999999994</v>
      </c>
      <c r="AD83" s="111">
        <f>Table1123457[[#This Row],[pho (%)]]*Table1123457[[#This Row],[b (mm)]]*Table1123457[[#This Row],[h (mm)]]/100</f>
        <v>3672.75</v>
      </c>
      <c r="AE83" s="160">
        <v>0.83</v>
      </c>
      <c r="AF83" s="160">
        <v>525</v>
      </c>
      <c r="AG83" s="111">
        <f>(1/3-0.21*(MIN(Table1123457[[#This Row],[b (mm)]],AA83)/MAX(Table1123457[[#This Row],[b (mm)]],AA83))*(MIN(Table1123457[[#This Row],[b (mm)]],AA83)^4/(12*MAX(Table1123457[[#This Row],[b (mm)]],AA83)^4)))*MAX(Table1123457[[#This Row],[b (mm)]],AA83)*MIN(Table1123457[[#This Row],[b (mm)]],AA83)^3</f>
        <v>13274757428.370747</v>
      </c>
      <c r="AH83" s="111">
        <f>Table1123457[[#This Row],[b (mm)]]*AA83^3/12</f>
        <v>80226171875</v>
      </c>
      <c r="AI83" s="111">
        <v>8100</v>
      </c>
      <c r="AK83" s="126"/>
    </row>
    <row r="84" spans="1:39" x14ac:dyDescent="0.25">
      <c r="A84" s="248" t="s">
        <v>154</v>
      </c>
      <c r="B84" s="248">
        <v>1</v>
      </c>
      <c r="C84" s="185">
        <v>83</v>
      </c>
      <c r="D84" s="185">
        <f>Table1123457[[#This Row],[a (mm)]]/Table1123457[[#This Row],[d (mm)]]</f>
        <v>2.8928571428571428</v>
      </c>
      <c r="E84" s="123">
        <v>100</v>
      </c>
      <c r="F84" s="137">
        <f>Table1123457[[#This Row],[d (mm)]]</f>
        <v>1400</v>
      </c>
      <c r="G84" s="111">
        <f t="shared" si="7"/>
        <v>405000</v>
      </c>
      <c r="H84" s="135">
        <f t="shared" si="8"/>
        <v>1.9167976648500943E-7</v>
      </c>
      <c r="I84" s="135">
        <f>G84/(Table1123457[[#This Row],[b (mm)]]*Z84^2)</f>
        <v>6.8877551020408165E-4</v>
      </c>
      <c r="J84" s="135">
        <f t="shared" si="10"/>
        <v>9.3627357913982467E-2</v>
      </c>
      <c r="K84" s="111">
        <f t="shared" si="6"/>
        <v>2.3990746294089144E-7</v>
      </c>
      <c r="L84" s="111">
        <f>E84/(Table1123457[[#This Row],[b (mm)]]*Z84)</f>
        <v>2.380952380952381E-4</v>
      </c>
      <c r="M84" s="111">
        <f>Table1123457[[#This Row],[M (KN.mm)]]/(Table1123457[[#This Row],[b (mm)]]*Table1123457[[#This Row],[d (mm)]])</f>
        <v>0.9642857142857143</v>
      </c>
      <c r="N84" s="111">
        <f>Table1123457[[#This Row],[M (KN.mm)]]/(Table1123457[[#This Row],[b (mm)]]*Table1123457[[#This Row],[h (mm)]])</f>
        <v>0.9152542372881356</v>
      </c>
      <c r="O84" s="111">
        <f>Table1123457[[#This Row],[M (KN.mm)]]/(Table1123457[[#This Row],[b (mm)]]*Table1123457[[#This Row],[h (mm)]]*Table1123457[[#This Row],[L(mm)]])</f>
        <v>1.1299435028248587E-4</v>
      </c>
      <c r="P84" s="111">
        <f>Table1123457[[#This Row],[M (KN.mm)]]/(Table1123457[[#This Row],[b (mm)]]*Table1123457[[#This Row],[d (mm)]]*Table1123457[[#This Row],[L(mm)]])</f>
        <v>1.1904761904761905E-4</v>
      </c>
      <c r="Q84" s="111">
        <f>Table1123457[[#This Row],[M (KN.mm)]]/(Table1123457[[#This Row],[b (mm)]]*Table1123457[[#This Row],[h (mm)]]*Table1123457[[#This Row],[L(mm)]]*Table1123457[[#This Row],[fc (Mpa)]])</f>
        <v>1.5869993017203072E-6</v>
      </c>
      <c r="R84" s="111">
        <f>Table1123457[[#This Row],[M (KN.mm)]]/(Table1123457[[#This Row],[b (mm)]]*Table1123457[[#This Row],[h (mm)]]*Table1123457[[#This Row],[L(mm)]]/2)</f>
        <v>2.2598870056497175E-4</v>
      </c>
      <c r="S84" s="111">
        <f>Table1123457[[#This Row],[M (KN.mm)]]/(Table1123457[[#This Row],[a (mm)]]*Table1123457[[#This Row],[b (mm)]]*Table1123457[[#This Row],[h (mm)]]*Table1123457[[#This Row],[L(mm)]]/2)</f>
        <v>5.5799679151844874E-8</v>
      </c>
      <c r="T84" s="111">
        <f>G84/($AL$5*AH84*0.001*Table1123457[[#This Row],[pho (%)]])</f>
        <v>1.441201251766988E-7</v>
      </c>
      <c r="U84" s="111">
        <f>Table1123457[[#This Row],[M (KN.mm)]]/(Table1123457[[#This Row],[b (mm)]]*Table1123457[[#This Row],[d (mm)]]*Table1123457[[#This Row],[pho (%)]])</f>
        <v>0.72502685284640167</v>
      </c>
      <c r="V84" s="111">
        <f>E84*224.8/(2*SQRT(Table1123457[[#This Row],[fc (Mpa)]]*145.037)*Table1123457[[#This Row],[b (mm)]]*Table1123457[[#This Row],[d (mm)]]*(1/25.4)^2)</f>
        <v>0.16990456717568286</v>
      </c>
      <c r="W84" s="111">
        <f>Table1123457[[#This Row],[M (KN.mm)]]/$G$89</f>
        <v>7.2046109510086456E-2</v>
      </c>
      <c r="X84" s="111">
        <f t="shared" si="9"/>
        <v>0.16990456717568286</v>
      </c>
      <c r="Y84" s="111">
        <v>4050</v>
      </c>
      <c r="Z84" s="111">
        <v>1400</v>
      </c>
      <c r="AA84" s="111">
        <v>1475</v>
      </c>
      <c r="AB84" s="111">
        <v>300</v>
      </c>
      <c r="AC84" s="7">
        <v>71.2</v>
      </c>
      <c r="AD84" s="111">
        <f>Table1123457[[#This Row],[pho (%)]]*Table1123457[[#This Row],[b (mm)]]*Table1123457[[#This Row],[h (mm)]]/100</f>
        <v>5885.25</v>
      </c>
      <c r="AE84" s="160">
        <v>1.33</v>
      </c>
      <c r="AF84" s="160">
        <v>525</v>
      </c>
      <c r="AG84" s="111">
        <f>(1/3-0.21*(MIN(Table1123457[[#This Row],[b (mm)]],AA84)/MAX(Table1123457[[#This Row],[b (mm)]],AA84))*(MIN(Table1123457[[#This Row],[b (mm)]],AA84)^4/(12*MAX(Table1123457[[#This Row],[b (mm)]],AA84)^4)))*MAX(Table1123457[[#This Row],[b (mm)]],AA84)*MIN(Table1123457[[#This Row],[b (mm)]],AA84)^3</f>
        <v>13274757428.370747</v>
      </c>
      <c r="AH84" s="111">
        <f>Table1123457[[#This Row],[b (mm)]]*AA84^3/12</f>
        <v>80226171875</v>
      </c>
      <c r="AI84" s="111">
        <v>8100</v>
      </c>
      <c r="AK84" s="126"/>
    </row>
    <row r="85" spans="1:39" x14ac:dyDescent="0.25">
      <c r="A85" s="248" t="s">
        <v>154</v>
      </c>
      <c r="B85" s="248">
        <v>2</v>
      </c>
      <c r="C85" s="185">
        <v>84</v>
      </c>
      <c r="D85" s="185">
        <f>Table1123457[[#This Row],[a (mm)]]/Table1123457[[#This Row],[d (mm)]]</f>
        <v>2.8928571428571428</v>
      </c>
      <c r="E85" s="123">
        <v>450</v>
      </c>
      <c r="F85" s="137">
        <f>Table1123457[[#This Row],[d (mm)]]</f>
        <v>1400</v>
      </c>
      <c r="G85" s="111">
        <f t="shared" si="7"/>
        <v>1822500</v>
      </c>
      <c r="H85" s="135">
        <f t="shared" si="8"/>
        <v>8.6255894918254244E-7</v>
      </c>
      <c r="I85" s="135">
        <f>G85/(Table1123457[[#This Row],[b (mm)]]*Z85^2)</f>
        <v>3.0994897959183672E-3</v>
      </c>
      <c r="J85" s="135">
        <f t="shared" si="10"/>
        <v>0.4213231106129211</v>
      </c>
      <c r="K85" s="111">
        <f t="shared" si="6"/>
        <v>1.0795835832340115E-6</v>
      </c>
      <c r="L85" s="111">
        <f>E85/(Table1123457[[#This Row],[b (mm)]]*Z85)</f>
        <v>1.0714285714285715E-3</v>
      </c>
      <c r="M85" s="111">
        <f>Table1123457[[#This Row],[M (KN.mm)]]/(Table1123457[[#This Row],[b (mm)]]*Table1123457[[#This Row],[d (mm)]])</f>
        <v>4.3392857142857144</v>
      </c>
      <c r="N85" s="111">
        <f>Table1123457[[#This Row],[M (KN.mm)]]/(Table1123457[[#This Row],[b (mm)]]*Table1123457[[#This Row],[h (mm)]])</f>
        <v>4.1186440677966099</v>
      </c>
      <c r="O85" s="111">
        <f>Table1123457[[#This Row],[M (KN.mm)]]/(Table1123457[[#This Row],[b (mm)]]*Table1123457[[#This Row],[h (mm)]]*Table1123457[[#This Row],[L(mm)]])</f>
        <v>5.0847457627118645E-4</v>
      </c>
      <c r="P85" s="111">
        <f>Table1123457[[#This Row],[M (KN.mm)]]/(Table1123457[[#This Row],[b (mm)]]*Table1123457[[#This Row],[d (mm)]]*Table1123457[[#This Row],[L(mm)]])</f>
        <v>5.3571428571428574E-4</v>
      </c>
      <c r="Q85" s="111">
        <f>Table1123457[[#This Row],[M (KN.mm)]]/(Table1123457[[#This Row],[b (mm)]]*Table1123457[[#This Row],[h (mm)]]*Table1123457[[#This Row],[L(mm)]]*Table1123457[[#This Row],[fc (Mpa)]])</f>
        <v>7.1414968577413826E-6</v>
      </c>
      <c r="R85" s="111">
        <f>Table1123457[[#This Row],[M (KN.mm)]]/(Table1123457[[#This Row],[b (mm)]]*Table1123457[[#This Row],[h (mm)]]*Table1123457[[#This Row],[L(mm)]]/2)</f>
        <v>1.0169491525423729E-3</v>
      </c>
      <c r="S85" s="111">
        <f>Table1123457[[#This Row],[M (KN.mm)]]/(Table1123457[[#This Row],[a (mm)]]*Table1123457[[#This Row],[b (mm)]]*Table1123457[[#This Row],[h (mm)]]*Table1123457[[#This Row],[L(mm)]]/2)</f>
        <v>2.5109855618330192E-7</v>
      </c>
      <c r="T85" s="111">
        <f>G85/($AL$5*AH85*0.001*Table1123457[[#This Row],[pho (%)]])</f>
        <v>6.4854056329514459E-7</v>
      </c>
      <c r="U85" s="111">
        <f>Table1123457[[#This Row],[M (KN.mm)]]/(Table1123457[[#This Row],[b (mm)]]*Table1123457[[#This Row],[d (mm)]]*Table1123457[[#This Row],[pho (%)]])</f>
        <v>3.2626208378088077</v>
      </c>
      <c r="V85" s="111">
        <f>E85*224.8/(2*SQRT(Table1123457[[#This Row],[fc (Mpa)]]*145.037)*Table1123457[[#This Row],[b (mm)]]*Table1123457[[#This Row],[d (mm)]]*(1/25.4)^2)</f>
        <v>0.76457055229057291</v>
      </c>
      <c r="W85" s="111">
        <f>Table1123457[[#This Row],[M (KN.mm)]]/$G$89</f>
        <v>0.32420749279538907</v>
      </c>
      <c r="X85" s="111">
        <f t="shared" si="9"/>
        <v>0.76457055229057291</v>
      </c>
      <c r="Y85" s="111">
        <v>4050</v>
      </c>
      <c r="Z85" s="111">
        <v>1400</v>
      </c>
      <c r="AA85" s="111">
        <v>1475</v>
      </c>
      <c r="AB85" s="111">
        <v>300</v>
      </c>
      <c r="AC85" s="7">
        <v>71.2</v>
      </c>
      <c r="AD85" s="111">
        <f>Table1123457[[#This Row],[pho (%)]]*Table1123457[[#This Row],[b (mm)]]*Table1123457[[#This Row],[h (mm)]]/100</f>
        <v>5885.25</v>
      </c>
      <c r="AE85" s="160">
        <v>1.33</v>
      </c>
      <c r="AF85" s="160">
        <v>525</v>
      </c>
      <c r="AG85" s="111">
        <f>(1/3-0.21*(MIN(Table1123457[[#This Row],[b (mm)]],AA85)/MAX(Table1123457[[#This Row],[b (mm)]],AA85))*(MIN(Table1123457[[#This Row],[b (mm)]],AA85)^4/(12*MAX(Table1123457[[#This Row],[b (mm)]],AA85)^4)))*MAX(Table1123457[[#This Row],[b (mm)]],AA85)*MIN(Table1123457[[#This Row],[b (mm)]],AA85)^3</f>
        <v>13274757428.370747</v>
      </c>
      <c r="AH85" s="111">
        <f>Table1123457[[#This Row],[b (mm)]]*AA85^3/12</f>
        <v>80226171875</v>
      </c>
      <c r="AI85" s="111">
        <v>8100</v>
      </c>
      <c r="AK85" s="126"/>
    </row>
    <row r="86" spans="1:39" x14ac:dyDescent="0.25">
      <c r="A86" s="248" t="s">
        <v>154</v>
      </c>
      <c r="B86" s="248">
        <v>3</v>
      </c>
      <c r="C86" s="185">
        <v>85</v>
      </c>
      <c r="D86" s="185">
        <f>Table1123457[[#This Row],[a (mm)]]/Table1123457[[#This Row],[d (mm)]]</f>
        <v>2.8928571428571428</v>
      </c>
      <c r="E86" s="123">
        <v>700</v>
      </c>
      <c r="F86" s="137">
        <f>Table1123457[[#This Row],[d (mm)]]</f>
        <v>1400</v>
      </c>
      <c r="G86" s="111">
        <f t="shared" si="7"/>
        <v>2835000</v>
      </c>
      <c r="H86" s="135">
        <f t="shared" si="8"/>
        <v>1.341758365395066E-6</v>
      </c>
      <c r="I86" s="135">
        <f>G86/(Table1123457[[#This Row],[b (mm)]]*Z86^2)</f>
        <v>4.8214285714285711E-3</v>
      </c>
      <c r="J86" s="135">
        <f t="shared" si="10"/>
        <v>0.65539150539787727</v>
      </c>
      <c r="K86" s="111">
        <f t="shared" si="6"/>
        <v>1.6793522405862401E-6</v>
      </c>
      <c r="L86" s="111">
        <f>E86/(Table1123457[[#This Row],[b (mm)]]*Z86)</f>
        <v>1.6666666666666668E-3</v>
      </c>
      <c r="M86" s="111">
        <f>Table1123457[[#This Row],[M (KN.mm)]]/(Table1123457[[#This Row],[b (mm)]]*Table1123457[[#This Row],[d (mm)]])</f>
        <v>6.75</v>
      </c>
      <c r="N86" s="111">
        <f>Table1123457[[#This Row],[M (KN.mm)]]/(Table1123457[[#This Row],[b (mm)]]*Table1123457[[#This Row],[h (mm)]])</f>
        <v>6.406779661016949</v>
      </c>
      <c r="O86" s="111">
        <f>Table1123457[[#This Row],[M (KN.mm)]]/(Table1123457[[#This Row],[b (mm)]]*Table1123457[[#This Row],[h (mm)]]*Table1123457[[#This Row],[L(mm)]])</f>
        <v>7.9096045197740109E-4</v>
      </c>
      <c r="P86" s="111">
        <f>Table1123457[[#This Row],[M (KN.mm)]]/(Table1123457[[#This Row],[b (mm)]]*Table1123457[[#This Row],[d (mm)]]*Table1123457[[#This Row],[L(mm)]])</f>
        <v>8.3333333333333339E-4</v>
      </c>
      <c r="Q86" s="111">
        <f>Table1123457[[#This Row],[M (KN.mm)]]/(Table1123457[[#This Row],[b (mm)]]*Table1123457[[#This Row],[h (mm)]]*Table1123457[[#This Row],[L(mm)]]*Table1123457[[#This Row],[fc (Mpa)]])</f>
        <v>1.110899511204215E-5</v>
      </c>
      <c r="R86" s="111">
        <f>Table1123457[[#This Row],[M (KN.mm)]]/(Table1123457[[#This Row],[b (mm)]]*Table1123457[[#This Row],[h (mm)]]*Table1123457[[#This Row],[L(mm)]]/2)</f>
        <v>1.5819209039548022E-3</v>
      </c>
      <c r="S86" s="111">
        <f>Table1123457[[#This Row],[M (KN.mm)]]/(Table1123457[[#This Row],[a (mm)]]*Table1123457[[#This Row],[b (mm)]]*Table1123457[[#This Row],[h (mm)]]*Table1123457[[#This Row],[L(mm)]]/2)</f>
        <v>3.9059775406291414E-7</v>
      </c>
      <c r="T86" s="111">
        <f>G86/($AL$5*AH86*0.001*Table1123457[[#This Row],[pho (%)]])</f>
        <v>1.0088408762368916E-6</v>
      </c>
      <c r="U86" s="111">
        <f>Table1123457[[#This Row],[M (KN.mm)]]/(Table1123457[[#This Row],[b (mm)]]*Table1123457[[#This Row],[d (mm)]]*Table1123457[[#This Row],[pho (%)]])</f>
        <v>5.0751879699248121</v>
      </c>
      <c r="V86" s="111">
        <f>E86*224.8/(2*SQRT(Table1123457[[#This Row],[fc (Mpa)]]*145.037)*Table1123457[[#This Row],[b (mm)]]*Table1123457[[#This Row],[d (mm)]]*(1/25.4)^2)</f>
        <v>1.18933197022978</v>
      </c>
      <c r="W86" s="111">
        <f>Table1123457[[#This Row],[M (KN.mm)]]/$G$89</f>
        <v>0.50432276657060515</v>
      </c>
      <c r="X86" s="111">
        <f t="shared" si="9"/>
        <v>1.18933197022978</v>
      </c>
      <c r="Y86" s="111">
        <v>4050</v>
      </c>
      <c r="Z86" s="111">
        <v>1400</v>
      </c>
      <c r="AA86" s="111">
        <v>1475</v>
      </c>
      <c r="AB86" s="111">
        <v>300</v>
      </c>
      <c r="AC86" s="7">
        <v>71.2</v>
      </c>
      <c r="AD86" s="111">
        <f>Table1123457[[#This Row],[pho (%)]]*Table1123457[[#This Row],[b (mm)]]*Table1123457[[#This Row],[h (mm)]]/100</f>
        <v>5885.25</v>
      </c>
      <c r="AE86" s="160">
        <v>1.33</v>
      </c>
      <c r="AF86" s="160">
        <v>525</v>
      </c>
      <c r="AG86" s="111">
        <f>(1/3-0.21*(MIN(Table1123457[[#This Row],[b (mm)]],AA86)/MAX(Table1123457[[#This Row],[b (mm)]],AA86))*(MIN(Table1123457[[#This Row],[b (mm)]],AA86)^4/(12*MAX(Table1123457[[#This Row],[b (mm)]],AA86)^4)))*MAX(Table1123457[[#This Row],[b (mm)]],AA86)*MIN(Table1123457[[#This Row],[b (mm)]],AA86)^3</f>
        <v>13274757428.370747</v>
      </c>
      <c r="AH86" s="111">
        <f>Table1123457[[#This Row],[b (mm)]]*AA86^3/12</f>
        <v>80226171875</v>
      </c>
      <c r="AI86" s="111">
        <v>8100</v>
      </c>
      <c r="AK86" s="126"/>
    </row>
    <row r="87" spans="1:39" x14ac:dyDescent="0.25">
      <c r="A87" s="248" t="s">
        <v>154</v>
      </c>
      <c r="B87" s="248">
        <v>4</v>
      </c>
      <c r="C87" s="185">
        <v>86</v>
      </c>
      <c r="D87" s="185">
        <f>Table1123457[[#This Row],[a (mm)]]/Table1123457[[#This Row],[d (mm)]]</f>
        <v>2.8928571428571428</v>
      </c>
      <c r="E87" s="123">
        <v>942</v>
      </c>
      <c r="F87" s="137">
        <f>Table1123457[[#This Row],[d (mm)]]</f>
        <v>1400</v>
      </c>
      <c r="G87" s="111">
        <f t="shared" si="7"/>
        <v>3815100</v>
      </c>
      <c r="H87" s="135">
        <f t="shared" si="8"/>
        <v>1.8056234002887888E-6</v>
      </c>
      <c r="I87" s="135">
        <f>G87/(Table1123457[[#This Row],[b (mm)]]*Z87^2)</f>
        <v>6.4882653061224486E-3</v>
      </c>
      <c r="J87" s="135">
        <f t="shared" si="10"/>
        <v>0.88196971154971482</v>
      </c>
      <c r="K87" s="111">
        <f t="shared" si="6"/>
        <v>2.2599283009031975E-6</v>
      </c>
      <c r="L87" s="111">
        <f>E87/(Table1123457[[#This Row],[b (mm)]]*Z87)</f>
        <v>2.2428571428571428E-3</v>
      </c>
      <c r="M87" s="111">
        <f>Table1123457[[#This Row],[M (KN.mm)]]/(Table1123457[[#This Row],[b (mm)]]*Table1123457[[#This Row],[d (mm)]])</f>
        <v>9.0835714285714282</v>
      </c>
      <c r="N87" s="111">
        <f>Table1123457[[#This Row],[M (KN.mm)]]/(Table1123457[[#This Row],[b (mm)]]*Table1123457[[#This Row],[h (mm)]])</f>
        <v>8.6216949152542366</v>
      </c>
      <c r="O87" s="111">
        <f>Table1123457[[#This Row],[M (KN.mm)]]/(Table1123457[[#This Row],[b (mm)]]*Table1123457[[#This Row],[h (mm)]]*Table1123457[[#This Row],[L(mm)]])</f>
        <v>1.0644067796610169E-3</v>
      </c>
      <c r="P87" s="111">
        <f>Table1123457[[#This Row],[M (KN.mm)]]/(Table1123457[[#This Row],[b (mm)]]*Table1123457[[#This Row],[d (mm)]]*Table1123457[[#This Row],[L(mm)]])</f>
        <v>1.1214285714285714E-3</v>
      </c>
      <c r="Q87" s="111">
        <f>Table1123457[[#This Row],[M (KN.mm)]]/(Table1123457[[#This Row],[b (mm)]]*Table1123457[[#This Row],[h (mm)]]*Table1123457[[#This Row],[L(mm)]]*Table1123457[[#This Row],[fc (Mpa)]])</f>
        <v>1.4949533422205294E-5</v>
      </c>
      <c r="R87" s="111">
        <f>Table1123457[[#This Row],[M (KN.mm)]]/(Table1123457[[#This Row],[b (mm)]]*Table1123457[[#This Row],[h (mm)]]*Table1123457[[#This Row],[L(mm)]]/2)</f>
        <v>2.1288135593220338E-3</v>
      </c>
      <c r="S87" s="111">
        <f>Table1123457[[#This Row],[M (KN.mm)]]/(Table1123457[[#This Row],[a (mm)]]*Table1123457[[#This Row],[b (mm)]]*Table1123457[[#This Row],[h (mm)]]*Table1123457[[#This Row],[L(mm)]]/2)</f>
        <v>5.2563297761037869E-7</v>
      </c>
      <c r="T87" s="111">
        <f>G87/($AL$5*AH87*0.001*Table1123457[[#This Row],[pho (%)]])</f>
        <v>1.3576115791645028E-6</v>
      </c>
      <c r="U87" s="111">
        <f>Table1123457[[#This Row],[M (KN.mm)]]/(Table1123457[[#This Row],[b (mm)]]*Table1123457[[#This Row],[d (mm)]]*Table1123457[[#This Row],[pho (%)]])</f>
        <v>6.8297529538131041</v>
      </c>
      <c r="V87" s="111">
        <f>E87*224.8/(2*SQRT(Table1123457[[#This Row],[fc (Mpa)]]*145.037)*Table1123457[[#This Row],[b (mm)]]*Table1123457[[#This Row],[d (mm)]]*(1/25.4)^2)</f>
        <v>1.6005010227949326</v>
      </c>
      <c r="W87" s="111">
        <f>Table1123457[[#This Row],[M (KN.mm)]]/$G$89</f>
        <v>0.67867435158501443</v>
      </c>
      <c r="X87" s="111">
        <f t="shared" si="9"/>
        <v>1.6005010227949326</v>
      </c>
      <c r="Y87" s="111">
        <v>4050</v>
      </c>
      <c r="Z87" s="111">
        <v>1400</v>
      </c>
      <c r="AA87" s="111">
        <v>1475</v>
      </c>
      <c r="AB87" s="111">
        <v>300</v>
      </c>
      <c r="AC87" s="7">
        <v>71.2</v>
      </c>
      <c r="AD87" s="111">
        <f>Table1123457[[#This Row],[pho (%)]]*Table1123457[[#This Row],[b (mm)]]*Table1123457[[#This Row],[h (mm)]]/100</f>
        <v>5885.25</v>
      </c>
      <c r="AE87" s="160">
        <v>1.33</v>
      </c>
      <c r="AF87" s="160">
        <v>525</v>
      </c>
      <c r="AG87" s="111">
        <f>(1/3-0.21*(MIN(Table1123457[[#This Row],[b (mm)]],AA87)/MAX(Table1123457[[#This Row],[b (mm)]],AA87))*(MIN(Table1123457[[#This Row],[b (mm)]],AA87)^4/(12*MAX(Table1123457[[#This Row],[b (mm)]],AA87)^4)))*MAX(Table1123457[[#This Row],[b (mm)]],AA87)*MIN(Table1123457[[#This Row],[b (mm)]],AA87)^3</f>
        <v>13274757428.370747</v>
      </c>
      <c r="AH87" s="111">
        <f>Table1123457[[#This Row],[b (mm)]]*AA87^3/12</f>
        <v>80226171875</v>
      </c>
      <c r="AI87" s="111">
        <v>8100</v>
      </c>
      <c r="AK87" s="126"/>
    </row>
    <row r="88" spans="1:39" x14ac:dyDescent="0.25">
      <c r="A88" s="248" t="s">
        <v>154</v>
      </c>
      <c r="B88" s="248">
        <v>5</v>
      </c>
      <c r="C88" s="185">
        <v>87</v>
      </c>
      <c r="D88" s="185">
        <f>Table1123457[[#This Row],[a (mm)]]/Table1123457[[#This Row],[d (mm)]]</f>
        <v>2.8928571428571428</v>
      </c>
      <c r="E88" s="123">
        <v>1200</v>
      </c>
      <c r="F88" s="137">
        <f>Table1123457[[#This Row],[d (mm)]]</f>
        <v>1400</v>
      </c>
      <c r="G88" s="111">
        <f t="shared" si="7"/>
        <v>4860000</v>
      </c>
      <c r="H88" s="135">
        <f t="shared" si="8"/>
        <v>2.300157197820113E-6</v>
      </c>
      <c r="I88" s="135">
        <f>G88/(Table1123457[[#This Row],[b (mm)]]*Z88^2)</f>
        <v>8.2653061224489798E-3</v>
      </c>
      <c r="J88" s="135">
        <f t="shared" si="10"/>
        <v>1.1235282949677896</v>
      </c>
      <c r="K88" s="111">
        <f t="shared" si="6"/>
        <v>2.8788895552906975E-6</v>
      </c>
      <c r="L88" s="111">
        <f>E88/(Table1123457[[#This Row],[b (mm)]]*Z88)</f>
        <v>2.8571428571428571E-3</v>
      </c>
      <c r="M88" s="111">
        <f>Table1123457[[#This Row],[M (KN.mm)]]/(Table1123457[[#This Row],[b (mm)]]*Table1123457[[#This Row],[d (mm)]])</f>
        <v>11.571428571428571</v>
      </c>
      <c r="N88" s="111">
        <f>Table1123457[[#This Row],[M (KN.mm)]]/(Table1123457[[#This Row],[b (mm)]]*Table1123457[[#This Row],[h (mm)]])</f>
        <v>10.983050847457626</v>
      </c>
      <c r="O88" s="111">
        <f>Table1123457[[#This Row],[M (KN.mm)]]/(Table1123457[[#This Row],[b (mm)]]*Table1123457[[#This Row],[h (mm)]]*Table1123457[[#This Row],[L(mm)]])</f>
        <v>1.3559322033898306E-3</v>
      </c>
      <c r="P88" s="111">
        <f>Table1123457[[#This Row],[M (KN.mm)]]/(Table1123457[[#This Row],[b (mm)]]*Table1123457[[#This Row],[d (mm)]]*Table1123457[[#This Row],[L(mm)]])</f>
        <v>1.4285714285714286E-3</v>
      </c>
      <c r="Q88" s="111">
        <f>Table1123457[[#This Row],[M (KN.mm)]]/(Table1123457[[#This Row],[b (mm)]]*Table1123457[[#This Row],[h (mm)]]*Table1123457[[#This Row],[L(mm)]]*Table1123457[[#This Row],[fc (Mpa)]])</f>
        <v>1.9043991620643688E-5</v>
      </c>
      <c r="R88" s="111">
        <f>Table1123457[[#This Row],[M (KN.mm)]]/(Table1123457[[#This Row],[b (mm)]]*Table1123457[[#This Row],[h (mm)]]*Table1123457[[#This Row],[L(mm)]]/2)</f>
        <v>2.7118644067796612E-3</v>
      </c>
      <c r="S88" s="111">
        <f>Table1123457[[#This Row],[M (KN.mm)]]/(Table1123457[[#This Row],[a (mm)]]*Table1123457[[#This Row],[b (mm)]]*Table1123457[[#This Row],[h (mm)]]*Table1123457[[#This Row],[L(mm)]]/2)</f>
        <v>6.6959614982213856E-7</v>
      </c>
      <c r="T88" s="111">
        <f>G88/($AL$5*AH88*0.001*Table1123457[[#This Row],[pho (%)]])</f>
        <v>1.7294415021203857E-6</v>
      </c>
      <c r="U88" s="111">
        <f>Table1123457[[#This Row],[M (KN.mm)]]/(Table1123457[[#This Row],[b (mm)]]*Table1123457[[#This Row],[d (mm)]]*Table1123457[[#This Row],[pho (%)]])</f>
        <v>8.70032223415682</v>
      </c>
      <c r="V88" s="111">
        <f>E88*224.8/(2*SQRT(Table1123457[[#This Row],[fc (Mpa)]]*145.037)*Table1123457[[#This Row],[b (mm)]]*Table1123457[[#This Row],[d (mm)]]*(1/25.4)^2)</f>
        <v>2.0388548061081941</v>
      </c>
      <c r="W88" s="111">
        <f>Table1123457[[#This Row],[M (KN.mm)]]/$G$89</f>
        <v>0.86455331412103742</v>
      </c>
      <c r="X88" s="111">
        <f t="shared" si="9"/>
        <v>2.0388548061081941</v>
      </c>
      <c r="Y88" s="111">
        <v>4050</v>
      </c>
      <c r="Z88" s="111">
        <v>1400</v>
      </c>
      <c r="AA88" s="111">
        <v>1475</v>
      </c>
      <c r="AB88" s="111">
        <v>300</v>
      </c>
      <c r="AC88" s="7">
        <v>71.2</v>
      </c>
      <c r="AD88" s="111">
        <f>Table1123457[[#This Row],[pho (%)]]*Table1123457[[#This Row],[b (mm)]]*Table1123457[[#This Row],[h (mm)]]/100</f>
        <v>5885.25</v>
      </c>
      <c r="AE88" s="160">
        <v>1.33</v>
      </c>
      <c r="AF88" s="160">
        <v>525</v>
      </c>
      <c r="AG88" s="111">
        <f>(1/3-0.21*(MIN(Table1123457[[#This Row],[b (mm)]],AA88)/MAX(Table1123457[[#This Row],[b (mm)]],AA88))*(MIN(Table1123457[[#This Row],[b (mm)]],AA88)^4/(12*MAX(Table1123457[[#This Row],[b (mm)]],AA88)^4)))*MAX(Table1123457[[#This Row],[b (mm)]],AA88)*MIN(Table1123457[[#This Row],[b (mm)]],AA88)^3</f>
        <v>13274757428.370747</v>
      </c>
      <c r="AH88" s="111">
        <f>Table1123457[[#This Row],[b (mm)]]*AA88^3/12</f>
        <v>80226171875</v>
      </c>
      <c r="AI88" s="111">
        <v>8100</v>
      </c>
      <c r="AK88" s="126"/>
    </row>
    <row r="89" spans="1:39" x14ac:dyDescent="0.25">
      <c r="A89" s="248" t="s">
        <v>154</v>
      </c>
      <c r="B89" s="248" t="s">
        <v>141</v>
      </c>
      <c r="C89" s="185">
        <v>88</v>
      </c>
      <c r="D89" s="185">
        <f>Table1123457[[#This Row],[a (mm)]]/Table1123457[[#This Row],[d (mm)]]</f>
        <v>2.8928571428571428</v>
      </c>
      <c r="E89" s="123">
        <v>1388</v>
      </c>
      <c r="F89" s="137">
        <f>Table1123457[[#This Row],[d (mm)]]</f>
        <v>1400</v>
      </c>
      <c r="G89" s="111">
        <f t="shared" si="7"/>
        <v>5621400</v>
      </c>
      <c r="H89" s="135">
        <f t="shared" si="8"/>
        <v>2.660515158811931E-6</v>
      </c>
      <c r="I89" s="135">
        <f>G89/(Table1123457[[#This Row],[b (mm)]]*Z89^2)</f>
        <v>9.560204081632653E-3</v>
      </c>
      <c r="J89" s="135">
        <f t="shared" si="10"/>
        <v>1.2995477278460765</v>
      </c>
      <c r="K89" s="111">
        <f t="shared" si="6"/>
        <v>3.3299155856195734E-6</v>
      </c>
      <c r="L89" s="111">
        <f>E89/(Table1123457[[#This Row],[b (mm)]]*Z89)</f>
        <v>3.304761904761905E-3</v>
      </c>
      <c r="M89" s="111">
        <f>Table1123457[[#This Row],[M (KN.mm)]]/(Table1123457[[#This Row],[b (mm)]]*Table1123457[[#This Row],[d (mm)]])</f>
        <v>13.384285714285713</v>
      </c>
      <c r="N89" s="111">
        <f>Table1123457[[#This Row],[M (KN.mm)]]/(Table1123457[[#This Row],[b (mm)]]*Table1123457[[#This Row],[h (mm)]])</f>
        <v>12.703728813559321</v>
      </c>
      <c r="O89" s="111">
        <f>Table1123457[[#This Row],[M (KN.mm)]]/(Table1123457[[#This Row],[b (mm)]]*Table1123457[[#This Row],[h (mm)]]*Table1123457[[#This Row],[L(mm)]])</f>
        <v>1.5683615819209039E-3</v>
      </c>
      <c r="P89" s="111">
        <f>Table1123457[[#This Row],[M (KN.mm)]]/(Table1123457[[#This Row],[b (mm)]]*Table1123457[[#This Row],[d (mm)]]*Table1123457[[#This Row],[L(mm)]])</f>
        <v>1.6523809523809525E-3</v>
      </c>
      <c r="Q89" s="111">
        <f>Table1123457[[#This Row],[M (KN.mm)]]/(Table1123457[[#This Row],[b (mm)]]*Table1123457[[#This Row],[h (mm)]]*Table1123457[[#This Row],[L(mm)]]*Table1123457[[#This Row],[fc (Mpa)]])</f>
        <v>2.2027550307877864E-5</v>
      </c>
      <c r="R89" s="111">
        <f>Table1123457[[#This Row],[M (KN.mm)]]/(Table1123457[[#This Row],[b (mm)]]*Table1123457[[#This Row],[h (mm)]]*Table1123457[[#This Row],[L(mm)]]/2)</f>
        <v>3.1367231638418079E-3</v>
      </c>
      <c r="S89" s="111">
        <f>Table1123457[[#This Row],[M (KN.mm)]]/(Table1123457[[#This Row],[a (mm)]]*Table1123457[[#This Row],[b (mm)]]*Table1123457[[#This Row],[h (mm)]]*Table1123457[[#This Row],[L(mm)]]/2)</f>
        <v>7.7449954662760684E-7</v>
      </c>
      <c r="T89" s="111">
        <f>G89/($AL$5*AH89*0.001*Table1123457[[#This Row],[pho (%)]])</f>
        <v>2.0003873374525795E-6</v>
      </c>
      <c r="U89" s="111">
        <f>Table1123457[[#This Row],[M (KN.mm)]]/(Table1123457[[#This Row],[b (mm)]]*Table1123457[[#This Row],[d (mm)]]*Table1123457[[#This Row],[pho (%)]])</f>
        <v>10.063372717508056</v>
      </c>
      <c r="V89" s="111">
        <f>E89*224.8/(2*SQRT(Table1123457[[#This Row],[fc (Mpa)]]*145.037)*Table1123457[[#This Row],[b (mm)]]*Table1123457[[#This Row],[d (mm)]]*(1/25.4)^2)</f>
        <v>2.3582753923984785</v>
      </c>
      <c r="W89" s="111">
        <f>Table1123457[[#This Row],[M (KN.mm)]]/$G$89</f>
        <v>1</v>
      </c>
      <c r="X89" s="111">
        <f t="shared" si="9"/>
        <v>2.3582753923984785</v>
      </c>
      <c r="Y89" s="111">
        <v>4050</v>
      </c>
      <c r="Z89" s="111">
        <v>1400</v>
      </c>
      <c r="AA89" s="111">
        <v>1475</v>
      </c>
      <c r="AB89" s="111">
        <v>300</v>
      </c>
      <c r="AC89" s="7">
        <v>71.2</v>
      </c>
      <c r="AD89" s="111">
        <f>Table1123457[[#This Row],[pho (%)]]*Table1123457[[#This Row],[b (mm)]]*Table1123457[[#This Row],[h (mm)]]/100</f>
        <v>5885.25</v>
      </c>
      <c r="AE89" s="160">
        <v>1.33</v>
      </c>
      <c r="AF89" s="160">
        <v>525</v>
      </c>
      <c r="AG89" s="111">
        <f>(1/3-0.21*(MIN(Table1123457[[#This Row],[b (mm)]],AA89)/MAX(Table1123457[[#This Row],[b (mm)]],AA89))*(MIN(Table1123457[[#This Row],[b (mm)]],AA89)^4/(12*MAX(Table1123457[[#This Row],[b (mm)]],AA89)^4)))*MAX(Table1123457[[#This Row],[b (mm)]],AA89)*MIN(Table1123457[[#This Row],[b (mm)]],AA89)^3</f>
        <v>13274757428.370747</v>
      </c>
      <c r="AH89" s="111">
        <f>Table1123457[[#This Row],[b (mm)]]*AA89^3/12</f>
        <v>80226171875</v>
      </c>
      <c r="AI89" s="111">
        <v>8100</v>
      </c>
      <c r="AK89" s="126"/>
    </row>
    <row r="90" spans="1:39" x14ac:dyDescent="0.25">
      <c r="A90" s="249" t="s">
        <v>155</v>
      </c>
      <c r="B90" s="249">
        <v>1</v>
      </c>
      <c r="C90" s="185">
        <v>89</v>
      </c>
      <c r="D90" s="185">
        <f>Table1123457[[#This Row],[a (mm)]]/Table1123457[[#This Row],[d (mm)]]</f>
        <v>2.8928571428571428</v>
      </c>
      <c r="E90" s="250">
        <v>100</v>
      </c>
      <c r="F90" s="137">
        <f>Table1123457[[#This Row],[d (mm)]]</f>
        <v>1400</v>
      </c>
      <c r="G90" s="135">
        <f>E90*Y90</f>
        <v>405000</v>
      </c>
      <c r="H90" s="135">
        <f>G90/($AL$5*AH90*0.001)</f>
        <v>1.9167976648500943E-7</v>
      </c>
      <c r="I90" s="135">
        <f>G90/(Table1123457[[#This Row],[b (mm)]]*Z90^2)</f>
        <v>6.8877551020408165E-4</v>
      </c>
      <c r="J90" s="135">
        <f>G90/(AD90*AF90*Z90*0.001)</f>
        <v>0.1500293807537309</v>
      </c>
      <c r="K90" s="135">
        <f>E90/($AL$4*AG90*0.001)</f>
        <v>2.3990746294089144E-7</v>
      </c>
      <c r="L90" s="135">
        <f>E90/(Table1123457[[#This Row],[b (mm)]]*Z90)</f>
        <v>2.380952380952381E-4</v>
      </c>
      <c r="M90" s="135">
        <f>Table1123457[[#This Row],[M (KN.mm)]]/(Table1123457[[#This Row],[b (mm)]]*Table1123457[[#This Row],[d (mm)]])</f>
        <v>0.9642857142857143</v>
      </c>
      <c r="N90" s="135">
        <f>Table1123457[[#This Row],[M (KN.mm)]]/(Table1123457[[#This Row],[b (mm)]]*Table1123457[[#This Row],[h (mm)]])</f>
        <v>0.9152542372881356</v>
      </c>
      <c r="O90" s="145">
        <f>Table1123457[[#This Row],[M (KN.mm)]]/(Table1123457[[#This Row],[b (mm)]]*Table1123457[[#This Row],[h (mm)]]*Table1123457[[#This Row],[L(mm)]])</f>
        <v>1.1299435028248587E-4</v>
      </c>
      <c r="P90" s="145">
        <f>Table1123457[[#This Row],[M (KN.mm)]]/(Table1123457[[#This Row],[b (mm)]]*Table1123457[[#This Row],[d (mm)]]*Table1123457[[#This Row],[L(mm)]])</f>
        <v>1.1904761904761905E-4</v>
      </c>
      <c r="Q90" s="145">
        <f>Table1123457[[#This Row],[M (KN.mm)]]/(Table1123457[[#This Row],[b (mm)]]*Table1123457[[#This Row],[h (mm)]]*Table1123457[[#This Row],[L(mm)]]*Table1123457[[#This Row],[fc (Mpa)]])</f>
        <v>3.5985461873403144E-6</v>
      </c>
      <c r="R90" s="145">
        <f>Table1123457[[#This Row],[M (KN.mm)]]/(Table1123457[[#This Row],[b (mm)]]*Table1123457[[#This Row],[h (mm)]]*Table1123457[[#This Row],[L(mm)]]/2)</f>
        <v>2.2598870056497175E-4</v>
      </c>
      <c r="S90" s="145">
        <f>Table1123457[[#This Row],[M (KN.mm)]]/(Table1123457[[#This Row],[a (mm)]]*Table1123457[[#This Row],[b (mm)]]*Table1123457[[#This Row],[h (mm)]]*Table1123457[[#This Row],[L(mm)]]/2)</f>
        <v>5.5799679151844874E-8</v>
      </c>
      <c r="T90" s="111">
        <f>G90/($AL$5*AH90*0.001*Table1123457[[#This Row],[pho (%)]])</f>
        <v>2.3093947769278246E-7</v>
      </c>
      <c r="U90" s="145">
        <f>Table1123457[[#This Row],[M (KN.mm)]]/(Table1123457[[#This Row],[b (mm)]]*Table1123457[[#This Row],[d (mm)]]*Table1123457[[#This Row],[pho (%)]])</f>
        <v>1.1617900172117039</v>
      </c>
      <c r="V90" s="145">
        <f>E90*224.8/(2*SQRT(Table1123457[[#This Row],[fc (Mpa)]]*145.037)*Table1123457[[#This Row],[b (mm)]]*Table1123457[[#This Row],[d (mm)]]*(1/25.4)^2)</f>
        <v>0.2558469393792504</v>
      </c>
      <c r="W90" s="145">
        <f>Table1123457[[#This Row],[M (KN.mm)]]/$G$95</f>
        <v>0.20040080160320642</v>
      </c>
      <c r="X90" s="111">
        <f t="shared" si="9"/>
        <v>0.2558469393792504</v>
      </c>
      <c r="Y90" s="111">
        <v>4050</v>
      </c>
      <c r="Z90" s="111">
        <v>1400</v>
      </c>
      <c r="AA90" s="111">
        <v>1475</v>
      </c>
      <c r="AB90" s="111">
        <v>300</v>
      </c>
      <c r="AC90" s="7">
        <v>31.4</v>
      </c>
      <c r="AD90" s="135">
        <f>Table1123457[[#This Row],[pho (%)]]/100*Table1123457[[#This Row],[b (mm)]]*Table1123457[[#This Row],[h (mm)]]</f>
        <v>3672.7500000000005</v>
      </c>
      <c r="AE90" s="135">
        <v>0.83</v>
      </c>
      <c r="AF90" s="160">
        <v>525</v>
      </c>
      <c r="AG90" s="135">
        <f>(1/3-0.21*(MIN(Table1123457[[#This Row],[b (mm)]],AA90)/MAX(Table1123457[[#This Row],[b (mm)]],AA90))*(MIN(Table1123457[[#This Row],[b (mm)]],AA90)^4/(12*MAX(Table1123457[[#This Row],[b (mm)]],AA90)^4)))*MAX(Table1123457[[#This Row],[b (mm)]],AA90)*MIN(Table1123457[[#This Row],[b (mm)]],AA90)^3</f>
        <v>13274757428.370747</v>
      </c>
      <c r="AH90" s="135">
        <f>Table1123457[[#This Row],[b (mm)]]*AA90^3/12</f>
        <v>80226171875</v>
      </c>
      <c r="AI90" s="111">
        <v>8100</v>
      </c>
      <c r="AK90" s="179"/>
      <c r="AL90" s="139"/>
      <c r="AM90" s="139"/>
    </row>
    <row r="91" spans="1:39" x14ac:dyDescent="0.25">
      <c r="A91" s="249" t="s">
        <v>155</v>
      </c>
      <c r="B91" s="249">
        <v>2</v>
      </c>
      <c r="C91" s="185">
        <v>90</v>
      </c>
      <c r="D91" s="185">
        <f>Table1123457[[#This Row],[a (mm)]]/Table1123457[[#This Row],[d (mm)]]</f>
        <v>2.8928571428571428</v>
      </c>
      <c r="E91" s="250">
        <v>223</v>
      </c>
      <c r="F91" s="137">
        <f>Table1123457[[#This Row],[d (mm)]]</f>
        <v>1400</v>
      </c>
      <c r="G91" s="135">
        <f t="shared" ref="G91:G100" si="11">E91*Y91</f>
        <v>903150</v>
      </c>
      <c r="H91" s="135">
        <f t="shared" ref="H91:H100" si="12">G91/($AL$5*AH91*0.001)</f>
        <v>4.2744587926157104E-7</v>
      </c>
      <c r="I91" s="135">
        <f>G91/(Table1123457[[#This Row],[b (mm)]]*Z91^2)</f>
        <v>1.535969387755102E-3</v>
      </c>
      <c r="J91" s="135">
        <f t="shared" ref="J91:J100" si="13">G91/(AD91*AF91*Z91*0.001)</f>
        <v>0.33456551908081994</v>
      </c>
      <c r="K91" s="135">
        <f t="shared" ref="K91:K100" si="14">E91/($AL$4*AG91*0.001)</f>
        <v>5.3499364235818798E-7</v>
      </c>
      <c r="L91" s="135">
        <f>E91/(Table1123457[[#This Row],[b (mm)]]*Z91)</f>
        <v>5.3095238095238098E-4</v>
      </c>
      <c r="M91" s="135">
        <f>Table1123457[[#This Row],[M (KN.mm)]]/(Table1123457[[#This Row],[b (mm)]]*Table1123457[[#This Row],[d (mm)]])</f>
        <v>2.1503571428571431</v>
      </c>
      <c r="N91" s="135">
        <f>Table1123457[[#This Row],[M (KN.mm)]]/(Table1123457[[#This Row],[b (mm)]]*Table1123457[[#This Row],[h (mm)]])</f>
        <v>2.0410169491525423</v>
      </c>
      <c r="O91" s="145">
        <f>Table1123457[[#This Row],[M (KN.mm)]]/(Table1123457[[#This Row],[b (mm)]]*Table1123457[[#This Row],[h (mm)]]*Table1123457[[#This Row],[L(mm)]])</f>
        <v>2.5197740112994351E-4</v>
      </c>
      <c r="P91" s="145">
        <f>Table1123457[[#This Row],[M (KN.mm)]]/(Table1123457[[#This Row],[b (mm)]]*Table1123457[[#This Row],[d (mm)]]*Table1123457[[#This Row],[L(mm)]])</f>
        <v>2.6547619047619049E-4</v>
      </c>
      <c r="Q91" s="145">
        <f>Table1123457[[#This Row],[M (KN.mm)]]/(Table1123457[[#This Row],[b (mm)]]*Table1123457[[#This Row],[h (mm)]]*Table1123457[[#This Row],[L(mm)]]*Table1123457[[#This Row],[fc (Mpa)]])</f>
        <v>8.0247579977689016E-6</v>
      </c>
      <c r="R91" s="145">
        <f>Table1123457[[#This Row],[M (KN.mm)]]/(Table1123457[[#This Row],[b (mm)]]*Table1123457[[#This Row],[h (mm)]]*Table1123457[[#This Row],[L(mm)]]/2)</f>
        <v>5.0395480225988703E-4</v>
      </c>
      <c r="S91" s="145">
        <f>Table1123457[[#This Row],[M (KN.mm)]]/(Table1123457[[#This Row],[a (mm)]]*Table1123457[[#This Row],[b (mm)]]*Table1123457[[#This Row],[h (mm)]]*Table1123457[[#This Row],[L(mm)]]/2)</f>
        <v>1.2443328450861407E-7</v>
      </c>
      <c r="T91" s="111">
        <f>G91/($AL$5*AH91*0.001*Table1123457[[#This Row],[pho (%)]])</f>
        <v>5.1499503525490486E-7</v>
      </c>
      <c r="U91" s="145">
        <f>Table1123457[[#This Row],[M (KN.mm)]]/(Table1123457[[#This Row],[b (mm)]]*Table1123457[[#This Row],[d (mm)]]*Table1123457[[#This Row],[pho (%)]])</f>
        <v>2.5907917383820998</v>
      </c>
      <c r="V91" s="145">
        <f>E91*224.8/(2*SQRT(Table1123457[[#This Row],[fc (Mpa)]]*145.037)*Table1123457[[#This Row],[b (mm)]]*Table1123457[[#This Row],[d (mm)]]*(1/25.4)^2)</f>
        <v>0.5705386748157284</v>
      </c>
      <c r="W91" s="145">
        <f>Table1123457[[#This Row],[M (KN.mm)]]/$G$95</f>
        <v>0.4468937875751503</v>
      </c>
      <c r="X91" s="111">
        <f t="shared" si="9"/>
        <v>0.5705386748157284</v>
      </c>
      <c r="Y91" s="111">
        <v>4050</v>
      </c>
      <c r="Z91" s="111">
        <v>1400</v>
      </c>
      <c r="AA91" s="111">
        <v>1475</v>
      </c>
      <c r="AB91" s="111">
        <v>300</v>
      </c>
      <c r="AC91" s="7">
        <v>31.4</v>
      </c>
      <c r="AD91" s="135">
        <f>Table1123457[[#This Row],[pho (%)]]/100*Table1123457[[#This Row],[b (mm)]]*Table1123457[[#This Row],[h (mm)]]</f>
        <v>3672.7500000000005</v>
      </c>
      <c r="AE91" s="135">
        <v>0.83</v>
      </c>
      <c r="AF91" s="160">
        <v>525</v>
      </c>
      <c r="AG91" s="135">
        <f>(1/3-0.21*(MIN(Table1123457[[#This Row],[b (mm)]],AA91)/MAX(Table1123457[[#This Row],[b (mm)]],AA91))*(MIN(Table1123457[[#This Row],[b (mm)]],AA91)^4/(12*MAX(Table1123457[[#This Row],[b (mm)]],AA91)^4)))*MAX(Table1123457[[#This Row],[b (mm)]],AA91)*MIN(Table1123457[[#This Row],[b (mm)]],AA91)^3</f>
        <v>13274757428.370747</v>
      </c>
      <c r="AH91" s="135">
        <f>Table1123457[[#This Row],[b (mm)]]*AA91^3/12</f>
        <v>80226171875</v>
      </c>
      <c r="AI91" s="111">
        <v>8100</v>
      </c>
      <c r="AK91" s="107"/>
    </row>
    <row r="92" spans="1:39" x14ac:dyDescent="0.25">
      <c r="A92" s="249" t="s">
        <v>155</v>
      </c>
      <c r="B92" s="249">
        <v>3</v>
      </c>
      <c r="C92" s="185">
        <v>91</v>
      </c>
      <c r="D92" s="185">
        <f>Table1123457[[#This Row],[a (mm)]]/Table1123457[[#This Row],[d (mm)]]</f>
        <v>2.8928571428571428</v>
      </c>
      <c r="E92" s="250">
        <v>351</v>
      </c>
      <c r="F92" s="137">
        <f>Table1123457[[#This Row],[d (mm)]]</f>
        <v>1400</v>
      </c>
      <c r="G92" s="135">
        <f t="shared" si="11"/>
        <v>1421550</v>
      </c>
      <c r="H92" s="135">
        <f t="shared" si="12"/>
        <v>6.7279598036238311E-7</v>
      </c>
      <c r="I92" s="135">
        <f>G92/(Table1123457[[#This Row],[b (mm)]]*Z92^2)</f>
        <v>2.4176020408163265E-3</v>
      </c>
      <c r="J92" s="135">
        <f t="shared" si="13"/>
        <v>0.52660312644559548</v>
      </c>
      <c r="K92" s="135">
        <f t="shared" si="14"/>
        <v>8.4207519492252896E-7</v>
      </c>
      <c r="L92" s="135">
        <f>E92/(Table1123457[[#This Row],[b (mm)]]*Z92)</f>
        <v>8.3571428571428566E-4</v>
      </c>
      <c r="M92" s="135">
        <f>Table1123457[[#This Row],[M (KN.mm)]]/(Table1123457[[#This Row],[b (mm)]]*Table1123457[[#This Row],[d (mm)]])</f>
        <v>3.3846428571428571</v>
      </c>
      <c r="N92" s="135">
        <f>Table1123457[[#This Row],[M (KN.mm)]]/(Table1123457[[#This Row],[b (mm)]]*Table1123457[[#This Row],[h (mm)]])</f>
        <v>3.212542372881356</v>
      </c>
      <c r="O92" s="145">
        <f>Table1123457[[#This Row],[M (KN.mm)]]/(Table1123457[[#This Row],[b (mm)]]*Table1123457[[#This Row],[h (mm)]]*Table1123457[[#This Row],[L(mm)]])</f>
        <v>3.966101694915254E-4</v>
      </c>
      <c r="P92" s="145">
        <f>Table1123457[[#This Row],[M (KN.mm)]]/(Table1123457[[#This Row],[b (mm)]]*Table1123457[[#This Row],[d (mm)]]*Table1123457[[#This Row],[L(mm)]])</f>
        <v>4.1785714285714283E-4</v>
      </c>
      <c r="Q92" s="145">
        <f>Table1123457[[#This Row],[M (KN.mm)]]/(Table1123457[[#This Row],[b (mm)]]*Table1123457[[#This Row],[h (mm)]]*Table1123457[[#This Row],[L(mm)]]*Table1123457[[#This Row],[fc (Mpa)]])</f>
        <v>1.2630897117564503E-5</v>
      </c>
      <c r="R92" s="145">
        <f>Table1123457[[#This Row],[M (KN.mm)]]/(Table1123457[[#This Row],[b (mm)]]*Table1123457[[#This Row],[h (mm)]]*Table1123457[[#This Row],[L(mm)]]/2)</f>
        <v>7.932203389830508E-4</v>
      </c>
      <c r="S92" s="145">
        <f>Table1123457[[#This Row],[M (KN.mm)]]/(Table1123457[[#This Row],[a (mm)]]*Table1123457[[#This Row],[b (mm)]]*Table1123457[[#This Row],[h (mm)]]*Table1123457[[#This Row],[L(mm)]]/2)</f>
        <v>1.9585687382297551E-7</v>
      </c>
      <c r="T92" s="111">
        <f>G92/($AL$5*AH92*0.001*Table1123457[[#This Row],[pho (%)]])</f>
        <v>8.105975667016664E-7</v>
      </c>
      <c r="U92" s="145">
        <f>Table1123457[[#This Row],[M (KN.mm)]]/(Table1123457[[#This Row],[b (mm)]]*Table1123457[[#This Row],[d (mm)]]*Table1123457[[#This Row],[pho (%)]])</f>
        <v>4.0778829604130813</v>
      </c>
      <c r="V92" s="145">
        <f>E92*224.8/(2*SQRT(Table1123457[[#This Row],[fc (Mpa)]]*145.037)*Table1123457[[#This Row],[b (mm)]]*Table1123457[[#This Row],[d (mm)]]*(1/25.4)^2)</f>
        <v>0.89802275722116898</v>
      </c>
      <c r="W92" s="145">
        <f>Table1123457[[#This Row],[M (KN.mm)]]/$G$95</f>
        <v>0.70340681362725455</v>
      </c>
      <c r="X92" s="111">
        <f t="shared" si="9"/>
        <v>0.89802275722116898</v>
      </c>
      <c r="Y92" s="111">
        <v>4050</v>
      </c>
      <c r="Z92" s="111">
        <v>1400</v>
      </c>
      <c r="AA92" s="111">
        <v>1475</v>
      </c>
      <c r="AB92" s="111">
        <v>300</v>
      </c>
      <c r="AC92" s="7">
        <v>31.4</v>
      </c>
      <c r="AD92" s="135">
        <f>Table1123457[[#This Row],[pho (%)]]/100*Table1123457[[#This Row],[b (mm)]]*Table1123457[[#This Row],[h (mm)]]</f>
        <v>3672.7500000000005</v>
      </c>
      <c r="AE92" s="135">
        <v>0.83</v>
      </c>
      <c r="AF92" s="160">
        <v>525</v>
      </c>
      <c r="AG92" s="135">
        <f>(1/3-0.21*(MIN(Table1123457[[#This Row],[b (mm)]],AA92)/MAX(Table1123457[[#This Row],[b (mm)]],AA92))*(MIN(Table1123457[[#This Row],[b (mm)]],AA92)^4/(12*MAX(Table1123457[[#This Row],[b (mm)]],AA92)^4)))*MAX(Table1123457[[#This Row],[b (mm)]],AA92)*MIN(Table1123457[[#This Row],[b (mm)]],AA92)^3</f>
        <v>13274757428.370747</v>
      </c>
      <c r="AH92" s="135">
        <f>Table1123457[[#This Row],[b (mm)]]*AA92^3/12</f>
        <v>80226171875</v>
      </c>
      <c r="AI92" s="111">
        <v>8100</v>
      </c>
      <c r="AK92" s="107"/>
    </row>
    <row r="93" spans="1:39" x14ac:dyDescent="0.25">
      <c r="A93" s="249" t="s">
        <v>155</v>
      </c>
      <c r="B93" s="249">
        <v>4</v>
      </c>
      <c r="C93" s="185">
        <v>92</v>
      </c>
      <c r="D93" s="185">
        <f>Table1123457[[#This Row],[a (mm)]]/Table1123457[[#This Row],[d (mm)]]</f>
        <v>2.8928571428571428</v>
      </c>
      <c r="E93" s="250">
        <v>420</v>
      </c>
      <c r="F93" s="137">
        <f>Table1123457[[#This Row],[d (mm)]]</f>
        <v>1400</v>
      </c>
      <c r="G93" s="135">
        <f t="shared" si="11"/>
        <v>1701000</v>
      </c>
      <c r="H93" s="135">
        <f t="shared" si="12"/>
        <v>8.0505501923703954E-7</v>
      </c>
      <c r="I93" s="135">
        <f>G93/(Table1123457[[#This Row],[b (mm)]]*Z93^2)</f>
        <v>2.8928571428571428E-3</v>
      </c>
      <c r="J93" s="135">
        <f t="shared" si="13"/>
        <v>0.63012339916566984</v>
      </c>
      <c r="K93" s="135">
        <f t="shared" si="14"/>
        <v>1.0076113443517442E-6</v>
      </c>
      <c r="L93" s="135">
        <f>E93/(Table1123457[[#This Row],[b (mm)]]*Z93)</f>
        <v>1E-3</v>
      </c>
      <c r="M93" s="135">
        <f>Table1123457[[#This Row],[M (KN.mm)]]/(Table1123457[[#This Row],[b (mm)]]*Table1123457[[#This Row],[d (mm)]])</f>
        <v>4.05</v>
      </c>
      <c r="N93" s="135">
        <f>Table1123457[[#This Row],[M (KN.mm)]]/(Table1123457[[#This Row],[b (mm)]]*Table1123457[[#This Row],[h (mm)]])</f>
        <v>3.8440677966101693</v>
      </c>
      <c r="O93" s="145">
        <f>Table1123457[[#This Row],[M (KN.mm)]]/(Table1123457[[#This Row],[b (mm)]]*Table1123457[[#This Row],[h (mm)]]*Table1123457[[#This Row],[L(mm)]])</f>
        <v>4.745762711864407E-4</v>
      </c>
      <c r="P93" s="145">
        <f>Table1123457[[#This Row],[M (KN.mm)]]/(Table1123457[[#This Row],[b (mm)]]*Table1123457[[#This Row],[d (mm)]]*Table1123457[[#This Row],[L(mm)]])</f>
        <v>5.0000000000000001E-4</v>
      </c>
      <c r="Q93" s="145">
        <f>Table1123457[[#This Row],[M (KN.mm)]]/(Table1123457[[#This Row],[b (mm)]]*Table1123457[[#This Row],[h (mm)]]*Table1123457[[#This Row],[L(mm)]]*Table1123457[[#This Row],[fc (Mpa)]])</f>
        <v>1.5113893986829322E-5</v>
      </c>
      <c r="R93" s="145">
        <f>Table1123457[[#This Row],[M (KN.mm)]]/(Table1123457[[#This Row],[b (mm)]]*Table1123457[[#This Row],[h (mm)]]*Table1123457[[#This Row],[L(mm)]]/2)</f>
        <v>9.491525423728814E-4</v>
      </c>
      <c r="S93" s="145">
        <f>Table1123457[[#This Row],[M (KN.mm)]]/(Table1123457[[#This Row],[a (mm)]]*Table1123457[[#This Row],[b (mm)]]*Table1123457[[#This Row],[h (mm)]]*Table1123457[[#This Row],[L(mm)]]/2)</f>
        <v>2.3435865243774848E-7</v>
      </c>
      <c r="T93" s="111">
        <f>G93/($AL$5*AH93*0.001*Table1123457[[#This Row],[pho (%)]])</f>
        <v>9.6994580630968621E-7</v>
      </c>
      <c r="U93" s="145">
        <f>Table1123457[[#This Row],[M (KN.mm)]]/(Table1123457[[#This Row],[b (mm)]]*Table1123457[[#This Row],[d (mm)]]*Table1123457[[#This Row],[pho (%)]])</f>
        <v>4.8795180722891569</v>
      </c>
      <c r="V93" s="145">
        <f>E93*224.8/(2*SQRT(Table1123457[[#This Row],[fc (Mpa)]]*145.037)*Table1123457[[#This Row],[b (mm)]]*Table1123457[[#This Row],[d (mm)]]*(1/25.4)^2)</f>
        <v>1.0745571453928517</v>
      </c>
      <c r="W93" s="145">
        <f>Table1123457[[#This Row],[M (KN.mm)]]/$G$95</f>
        <v>0.84168336673346689</v>
      </c>
      <c r="X93" s="111">
        <f t="shared" si="9"/>
        <v>1.0745571453928517</v>
      </c>
      <c r="Y93" s="111">
        <v>4050</v>
      </c>
      <c r="Z93" s="111">
        <v>1400</v>
      </c>
      <c r="AA93" s="111">
        <v>1475</v>
      </c>
      <c r="AB93" s="111">
        <v>300</v>
      </c>
      <c r="AC93" s="7">
        <v>31.4</v>
      </c>
      <c r="AD93" s="135">
        <f>Table1123457[[#This Row],[pho (%)]]/100*Table1123457[[#This Row],[b (mm)]]*Table1123457[[#This Row],[h (mm)]]</f>
        <v>3672.7500000000005</v>
      </c>
      <c r="AE93" s="135">
        <v>0.83</v>
      </c>
      <c r="AF93" s="160">
        <v>525</v>
      </c>
      <c r="AG93" s="135">
        <f>(1/3-0.21*(MIN(Table1123457[[#This Row],[b (mm)]],AA93)/MAX(Table1123457[[#This Row],[b (mm)]],AA93))*(MIN(Table1123457[[#This Row],[b (mm)]],AA93)^4/(12*MAX(Table1123457[[#This Row],[b (mm)]],AA93)^4)))*MAX(Table1123457[[#This Row],[b (mm)]],AA93)*MIN(Table1123457[[#This Row],[b (mm)]],AA93)^3</f>
        <v>13274757428.370747</v>
      </c>
      <c r="AH93" s="135">
        <f>Table1123457[[#This Row],[b (mm)]]*AA93^3/12</f>
        <v>80226171875</v>
      </c>
      <c r="AI93" s="111">
        <v>8100</v>
      </c>
      <c r="AK93" s="107"/>
    </row>
    <row r="94" spans="1:39" x14ac:dyDescent="0.25">
      <c r="A94" s="249" t="s">
        <v>155</v>
      </c>
      <c r="B94" s="249">
        <v>5</v>
      </c>
      <c r="C94" s="185">
        <v>93</v>
      </c>
      <c r="D94" s="185">
        <f>Table1123457[[#This Row],[a (mm)]]/Table1123457[[#This Row],[d (mm)]]</f>
        <v>2.8928571428571428</v>
      </c>
      <c r="E94" s="250">
        <v>499</v>
      </c>
      <c r="F94" s="137">
        <f>Table1123457[[#This Row],[d (mm)]]</f>
        <v>1400</v>
      </c>
      <c r="G94" s="135">
        <f t="shared" si="11"/>
        <v>2020950</v>
      </c>
      <c r="H94" s="135">
        <f t="shared" si="12"/>
        <v>9.5648203476019695E-7</v>
      </c>
      <c r="I94" s="135">
        <f>G94/(Table1123457[[#This Row],[b (mm)]]*Z94^2)</f>
        <v>3.4369897959183673E-3</v>
      </c>
      <c r="J94" s="135">
        <f t="shared" si="13"/>
        <v>0.7486466099611172</v>
      </c>
      <c r="K94" s="135">
        <f t="shared" si="14"/>
        <v>1.1971382400750483E-6</v>
      </c>
      <c r="L94" s="135">
        <f>E94/(Table1123457[[#This Row],[b (mm)]]*Z94)</f>
        <v>1.1880952380952381E-3</v>
      </c>
      <c r="M94" s="135">
        <f>Table1123457[[#This Row],[M (KN.mm)]]/(Table1123457[[#This Row],[b (mm)]]*Table1123457[[#This Row],[d (mm)]])</f>
        <v>4.8117857142857146</v>
      </c>
      <c r="N94" s="135">
        <f>Table1123457[[#This Row],[M (KN.mm)]]/(Table1123457[[#This Row],[b (mm)]]*Table1123457[[#This Row],[h (mm)]])</f>
        <v>4.5671186440677962</v>
      </c>
      <c r="O94" s="145">
        <f>Table1123457[[#This Row],[M (KN.mm)]]/(Table1123457[[#This Row],[b (mm)]]*Table1123457[[#This Row],[h (mm)]]*Table1123457[[#This Row],[L(mm)]])</f>
        <v>5.6384180790960449E-4</v>
      </c>
      <c r="P94" s="145">
        <f>Table1123457[[#This Row],[M (KN.mm)]]/(Table1123457[[#This Row],[b (mm)]]*Table1123457[[#This Row],[d (mm)]]*Table1123457[[#This Row],[L(mm)]])</f>
        <v>5.9404761904761905E-4</v>
      </c>
      <c r="Q94" s="145">
        <f>Table1123457[[#This Row],[M (KN.mm)]]/(Table1123457[[#This Row],[b (mm)]]*Table1123457[[#This Row],[h (mm)]]*Table1123457[[#This Row],[L(mm)]]*Table1123457[[#This Row],[fc (Mpa)]])</f>
        <v>1.7956745474828168E-5</v>
      </c>
      <c r="R94" s="145">
        <f>Table1123457[[#This Row],[M (KN.mm)]]/(Table1123457[[#This Row],[b (mm)]]*Table1123457[[#This Row],[h (mm)]]*Table1123457[[#This Row],[L(mm)]]/2)</f>
        <v>1.127683615819209E-3</v>
      </c>
      <c r="S94" s="145">
        <f>Table1123457[[#This Row],[M (KN.mm)]]/(Table1123457[[#This Row],[a (mm)]]*Table1123457[[#This Row],[b (mm)]]*Table1123457[[#This Row],[h (mm)]]*Table1123457[[#This Row],[L(mm)]]/2)</f>
        <v>2.7844039896770593E-7</v>
      </c>
      <c r="T94" s="111">
        <f>G94/($AL$5*AH94*0.001*Table1123457[[#This Row],[pho (%)]])</f>
        <v>1.1523879936869845E-6</v>
      </c>
      <c r="U94" s="145">
        <f>Table1123457[[#This Row],[M (KN.mm)]]/(Table1123457[[#This Row],[b (mm)]]*Table1123457[[#This Row],[d (mm)]]*Table1123457[[#This Row],[pho (%)]])</f>
        <v>5.7973321858864031</v>
      </c>
      <c r="V94" s="145">
        <f>E94*224.8/(2*SQRT(Table1123457[[#This Row],[fc (Mpa)]]*145.037)*Table1123457[[#This Row],[b (mm)]]*Table1123457[[#This Row],[d (mm)]]*(1/25.4)^2)</f>
        <v>1.2766762275024597</v>
      </c>
      <c r="W94" s="145">
        <f>Table1123457[[#This Row],[M (KN.mm)]]/$G$95</f>
        <v>1</v>
      </c>
      <c r="X94" s="111">
        <f t="shared" si="9"/>
        <v>1.2766762275024597</v>
      </c>
      <c r="Y94" s="111">
        <v>4050</v>
      </c>
      <c r="Z94" s="111">
        <v>1400</v>
      </c>
      <c r="AA94" s="111">
        <v>1475</v>
      </c>
      <c r="AB94" s="111">
        <v>300</v>
      </c>
      <c r="AC94" s="7">
        <v>31.4</v>
      </c>
      <c r="AD94" s="135">
        <f>Table1123457[[#This Row],[pho (%)]]/100*Table1123457[[#This Row],[b (mm)]]*Table1123457[[#This Row],[h (mm)]]</f>
        <v>3672.7500000000005</v>
      </c>
      <c r="AE94" s="135">
        <v>0.83</v>
      </c>
      <c r="AF94" s="160">
        <v>525</v>
      </c>
      <c r="AG94" s="135">
        <f>(1/3-0.21*(MIN(Table1123457[[#This Row],[b (mm)]],AA94)/MAX(Table1123457[[#This Row],[b (mm)]],AA94))*(MIN(Table1123457[[#This Row],[b (mm)]],AA94)^4/(12*MAX(Table1123457[[#This Row],[b (mm)]],AA94)^4)))*MAX(Table1123457[[#This Row],[b (mm)]],AA94)*MIN(Table1123457[[#This Row],[b (mm)]],AA94)^3</f>
        <v>13274757428.370747</v>
      </c>
      <c r="AH94" s="135">
        <f>Table1123457[[#This Row],[b (mm)]]*AA94^3/12</f>
        <v>80226171875</v>
      </c>
      <c r="AI94" s="111">
        <v>8100</v>
      </c>
      <c r="AK94" s="107"/>
    </row>
    <row r="95" spans="1:39" x14ac:dyDescent="0.25">
      <c r="A95" s="249" t="s">
        <v>155</v>
      </c>
      <c r="B95" s="249" t="s">
        <v>141</v>
      </c>
      <c r="C95" s="185">
        <v>94</v>
      </c>
      <c r="D95" s="185">
        <f>Table1123457[[#This Row],[a (mm)]]/Table1123457[[#This Row],[d (mm)]]</f>
        <v>2.8928571428571428</v>
      </c>
      <c r="E95" s="250">
        <v>499</v>
      </c>
      <c r="F95" s="137">
        <f>Table1123457[[#This Row],[d (mm)]]</f>
        <v>1400</v>
      </c>
      <c r="G95" s="135">
        <f t="shared" si="11"/>
        <v>2020950</v>
      </c>
      <c r="H95" s="135">
        <f t="shared" si="12"/>
        <v>9.5648203476019695E-7</v>
      </c>
      <c r="I95" s="135">
        <f>G95/(Table1123457[[#This Row],[b (mm)]]*Z95^2)</f>
        <v>3.4369897959183673E-3</v>
      </c>
      <c r="J95" s="135">
        <f t="shared" si="13"/>
        <v>0.7486466099611172</v>
      </c>
      <c r="K95" s="135">
        <f t="shared" si="14"/>
        <v>1.1971382400750483E-6</v>
      </c>
      <c r="L95" s="135">
        <f>E95/(Table1123457[[#This Row],[b (mm)]]*Z95)</f>
        <v>1.1880952380952381E-3</v>
      </c>
      <c r="M95" s="135">
        <f>Table1123457[[#This Row],[M (KN.mm)]]/(Table1123457[[#This Row],[b (mm)]]*Table1123457[[#This Row],[d (mm)]])</f>
        <v>4.8117857142857146</v>
      </c>
      <c r="N95" s="135">
        <f>Table1123457[[#This Row],[M (KN.mm)]]/(Table1123457[[#This Row],[b (mm)]]*Table1123457[[#This Row],[h (mm)]])</f>
        <v>4.5671186440677962</v>
      </c>
      <c r="O95" s="145">
        <f>Table1123457[[#This Row],[M (KN.mm)]]/(Table1123457[[#This Row],[b (mm)]]*Table1123457[[#This Row],[h (mm)]]*Table1123457[[#This Row],[L(mm)]])</f>
        <v>5.6384180790960449E-4</v>
      </c>
      <c r="P95" s="145">
        <f>Table1123457[[#This Row],[M (KN.mm)]]/(Table1123457[[#This Row],[b (mm)]]*Table1123457[[#This Row],[d (mm)]]*Table1123457[[#This Row],[L(mm)]])</f>
        <v>5.9404761904761905E-4</v>
      </c>
      <c r="Q95" s="145">
        <f>Table1123457[[#This Row],[M (KN.mm)]]/(Table1123457[[#This Row],[b (mm)]]*Table1123457[[#This Row],[h (mm)]]*Table1123457[[#This Row],[L(mm)]]*Table1123457[[#This Row],[fc (Mpa)]])</f>
        <v>1.7956745474828168E-5</v>
      </c>
      <c r="R95" s="145">
        <f>Table1123457[[#This Row],[M (KN.mm)]]/(Table1123457[[#This Row],[b (mm)]]*Table1123457[[#This Row],[h (mm)]]*Table1123457[[#This Row],[L(mm)]]/2)</f>
        <v>1.127683615819209E-3</v>
      </c>
      <c r="S95" s="145">
        <f>Table1123457[[#This Row],[M (KN.mm)]]/(Table1123457[[#This Row],[a (mm)]]*Table1123457[[#This Row],[b (mm)]]*Table1123457[[#This Row],[h (mm)]]*Table1123457[[#This Row],[L(mm)]]/2)</f>
        <v>2.7844039896770593E-7</v>
      </c>
      <c r="T95" s="111">
        <f>G95/($AL$5*AH95*0.001*Table1123457[[#This Row],[pho (%)]])</f>
        <v>1.1523879936869845E-6</v>
      </c>
      <c r="U95" s="145">
        <f>Table1123457[[#This Row],[M (KN.mm)]]/(Table1123457[[#This Row],[b (mm)]]*Table1123457[[#This Row],[d (mm)]]*Table1123457[[#This Row],[pho (%)]])</f>
        <v>5.7973321858864031</v>
      </c>
      <c r="V95" s="145">
        <f>E95*224.8/(2*SQRT(Table1123457[[#This Row],[fc (Mpa)]]*145.037)*Table1123457[[#This Row],[b (mm)]]*Table1123457[[#This Row],[d (mm)]]*(1/25.4)^2)</f>
        <v>1.2766762275024597</v>
      </c>
      <c r="W95" s="145">
        <f>Table1123457[[#This Row],[M (KN.mm)]]/$G$95</f>
        <v>1</v>
      </c>
      <c r="X95" s="111">
        <f t="shared" si="9"/>
        <v>1.2766762275024597</v>
      </c>
      <c r="Y95" s="111">
        <v>4050</v>
      </c>
      <c r="Z95" s="111">
        <v>1400</v>
      </c>
      <c r="AA95" s="111">
        <v>1475</v>
      </c>
      <c r="AB95" s="111">
        <v>300</v>
      </c>
      <c r="AC95" s="7">
        <v>31.4</v>
      </c>
      <c r="AD95" s="135">
        <f>Table1123457[[#This Row],[pho (%)]]/100*Table1123457[[#This Row],[b (mm)]]*Table1123457[[#This Row],[h (mm)]]</f>
        <v>3672.7500000000005</v>
      </c>
      <c r="AE95" s="135">
        <v>0.83</v>
      </c>
      <c r="AF95" s="160">
        <v>525</v>
      </c>
      <c r="AG95" s="135">
        <f>(1/3-0.21*(MIN(Table1123457[[#This Row],[b (mm)]],AA95)/MAX(Table1123457[[#This Row],[b (mm)]],AA95))*(MIN(Table1123457[[#This Row],[b (mm)]],AA95)^4/(12*MAX(Table1123457[[#This Row],[b (mm)]],AA95)^4)))*MAX(Table1123457[[#This Row],[b (mm)]],AA95)*MIN(Table1123457[[#This Row],[b (mm)]],AA95)^3</f>
        <v>13274757428.370747</v>
      </c>
      <c r="AH95" s="135">
        <f>Table1123457[[#This Row],[b (mm)]]*AA95^3/12</f>
        <v>80226171875</v>
      </c>
      <c r="AI95" s="111">
        <v>8100</v>
      </c>
      <c r="AK95" s="107"/>
    </row>
    <row r="96" spans="1:39" x14ac:dyDescent="0.25">
      <c r="A96" s="251" t="s">
        <v>156</v>
      </c>
      <c r="B96" s="251">
        <v>1</v>
      </c>
      <c r="C96" s="185">
        <v>95</v>
      </c>
      <c r="D96" s="185">
        <f>Table1123457[[#This Row],[a (mm)]]/Table1123457[[#This Row],[d (mm)]]</f>
        <v>2.8928571428571428</v>
      </c>
      <c r="E96" s="252">
        <v>225</v>
      </c>
      <c r="F96" s="137">
        <f>Table1123457[[#This Row],[d (mm)]]</f>
        <v>1400</v>
      </c>
      <c r="G96" s="135">
        <f t="shared" si="11"/>
        <v>911250</v>
      </c>
      <c r="H96" s="135">
        <f t="shared" si="12"/>
        <v>4.3127947459127122E-7</v>
      </c>
      <c r="I96" s="135">
        <f>G96/(Table1123457[[#This Row],[b (mm)]]*Z96^2)</f>
        <v>1.5497448979591836E-3</v>
      </c>
      <c r="J96" s="135">
        <f t="shared" si="13"/>
        <v>0.33756610669589454</v>
      </c>
      <c r="K96" s="135">
        <f t="shared" si="14"/>
        <v>5.3979179161700577E-7</v>
      </c>
      <c r="L96" s="135">
        <f>E96/(Table1123457[[#This Row],[b (mm)]]*Z96)</f>
        <v>5.3571428571428574E-4</v>
      </c>
      <c r="M96" s="135">
        <f>Table1123457[[#This Row],[M (KN.mm)]]/(Table1123457[[#This Row],[b (mm)]]*Table1123457[[#This Row],[d (mm)]])</f>
        <v>2.1696428571428572</v>
      </c>
      <c r="N96" s="135">
        <f>Table1123457[[#This Row],[M (KN.mm)]]/(Table1123457[[#This Row],[b (mm)]]*Table1123457[[#This Row],[h (mm)]])</f>
        <v>2.0593220338983049</v>
      </c>
      <c r="O96" s="145">
        <f>Table1123457[[#This Row],[M (KN.mm)]]/(Table1123457[[#This Row],[b (mm)]]*Table1123457[[#This Row],[h (mm)]]*Table1123457[[#This Row],[L(mm)]])</f>
        <v>2.5423728813559322E-4</v>
      </c>
      <c r="P96" s="145">
        <f>Table1123457[[#This Row],[M (KN.mm)]]/(Table1123457[[#This Row],[b (mm)]]*Table1123457[[#This Row],[d (mm)]]*Table1123457[[#This Row],[L(mm)]])</f>
        <v>2.6785714285714287E-4</v>
      </c>
      <c r="Q96" s="145">
        <f>Table1123457[[#This Row],[M (KN.mm)]]/(Table1123457[[#This Row],[b (mm)]]*Table1123457[[#This Row],[h (mm)]]*Table1123457[[#This Row],[L(mm)]]*Table1123457[[#This Row],[fc (Mpa)]])</f>
        <v>7.6577496426383493E-6</v>
      </c>
      <c r="R96" s="145">
        <f>Table1123457[[#This Row],[M (KN.mm)]]/(Table1123457[[#This Row],[b (mm)]]*Table1123457[[#This Row],[h (mm)]]*Table1123457[[#This Row],[L(mm)]]/2)</f>
        <v>5.0847457627118645E-4</v>
      </c>
      <c r="S96" s="145">
        <f>Table1123457[[#This Row],[M (KN.mm)]]/(Table1123457[[#This Row],[a (mm)]]*Table1123457[[#This Row],[b (mm)]]*Table1123457[[#This Row],[h (mm)]]*Table1123457[[#This Row],[L(mm)]]/2)</f>
        <v>1.2554927809165096E-7</v>
      </c>
      <c r="T96" s="111">
        <f>G96/($AL$5*AH96*0.001*Table1123457[[#This Row],[pho (%)]])</f>
        <v>5.1961382480876054E-7</v>
      </c>
      <c r="U96" s="145">
        <f>Table1123457[[#This Row],[M (KN.mm)]]/(Table1123457[[#This Row],[b (mm)]]*Table1123457[[#This Row],[d (mm)]]*Table1123457[[#This Row],[pho (%)]])</f>
        <v>2.6140275387263339</v>
      </c>
      <c r="V96" s="145">
        <f>E96*224.8/(2*SQRT(Table1123457[[#This Row],[fc (Mpa)]]*145.037)*Table1123457[[#This Row],[b (mm)]]*Table1123457[[#This Row],[d (mm)]]*(1/25.4)^2)</f>
        <v>0.55983304051169314</v>
      </c>
      <c r="W96" s="145">
        <f>Table1123457[[#This Row],[M (KN.mm)]]/$G$101</f>
        <v>0.45</v>
      </c>
      <c r="X96" s="111">
        <f t="shared" si="9"/>
        <v>0.55983304051169314</v>
      </c>
      <c r="Y96" s="111">
        <v>4050</v>
      </c>
      <c r="Z96" s="111">
        <v>1400</v>
      </c>
      <c r="AA96" s="111">
        <v>1475</v>
      </c>
      <c r="AB96" s="111">
        <v>300</v>
      </c>
      <c r="AC96" s="7">
        <v>33.200000000000003</v>
      </c>
      <c r="AD96" s="135">
        <f>Table1123457[[#This Row],[pho (%)]]/100*Table1123457[[#This Row],[b (mm)]]*Table1123457[[#This Row],[h (mm)]]</f>
        <v>3672.7500000000005</v>
      </c>
      <c r="AE96" s="135">
        <v>0.83</v>
      </c>
      <c r="AF96" s="160">
        <v>525</v>
      </c>
      <c r="AG96" s="135">
        <f>(1/3-0.21*(MIN(Table1123457[[#This Row],[b (mm)]],AA96)/MAX(Table1123457[[#This Row],[b (mm)]],AA96))*(MIN(Table1123457[[#This Row],[b (mm)]],AA96)^4/(12*MAX(Table1123457[[#This Row],[b (mm)]],AA96)^4)))*MAX(Table1123457[[#This Row],[b (mm)]],AA96)*MIN(Table1123457[[#This Row],[b (mm)]],AA96)^3</f>
        <v>13274757428.370747</v>
      </c>
      <c r="AH96" s="135">
        <f>Table1123457[[#This Row],[b (mm)]]*AA96^3/12</f>
        <v>80226171875</v>
      </c>
      <c r="AI96" s="111">
        <v>8100</v>
      </c>
      <c r="AK96" s="107"/>
    </row>
    <row r="97" spans="1:37" x14ac:dyDescent="0.25">
      <c r="A97" s="251" t="s">
        <v>156</v>
      </c>
      <c r="B97" s="251">
        <v>2</v>
      </c>
      <c r="C97" s="185">
        <v>96</v>
      </c>
      <c r="D97" s="185">
        <f>Table1123457[[#This Row],[a (mm)]]/Table1123457[[#This Row],[d (mm)]]</f>
        <v>2.8928571428571428</v>
      </c>
      <c r="E97" s="252">
        <v>350</v>
      </c>
      <c r="F97" s="137">
        <f>Table1123457[[#This Row],[d (mm)]]</f>
        <v>1400</v>
      </c>
      <c r="G97" s="135">
        <f t="shared" si="11"/>
        <v>1417500</v>
      </c>
      <c r="H97" s="135">
        <f t="shared" si="12"/>
        <v>6.7087918269753299E-7</v>
      </c>
      <c r="I97" s="135">
        <f>G97/(Table1123457[[#This Row],[b (mm)]]*Z97^2)</f>
        <v>2.4107142857142856E-3</v>
      </c>
      <c r="J97" s="135">
        <f t="shared" si="13"/>
        <v>0.52510283263805824</v>
      </c>
      <c r="K97" s="135">
        <f t="shared" si="14"/>
        <v>8.3967612029312006E-7</v>
      </c>
      <c r="L97" s="135">
        <f>E97/(Table1123457[[#This Row],[b (mm)]]*Z97)</f>
        <v>8.3333333333333339E-4</v>
      </c>
      <c r="M97" s="135">
        <f>Table1123457[[#This Row],[M (KN.mm)]]/(Table1123457[[#This Row],[b (mm)]]*Table1123457[[#This Row],[d (mm)]])</f>
        <v>3.375</v>
      </c>
      <c r="N97" s="135">
        <f>Table1123457[[#This Row],[M (KN.mm)]]/(Table1123457[[#This Row],[b (mm)]]*Table1123457[[#This Row],[h (mm)]])</f>
        <v>3.2033898305084745</v>
      </c>
      <c r="O97" s="145">
        <f>Table1123457[[#This Row],[M (KN.mm)]]/(Table1123457[[#This Row],[b (mm)]]*Table1123457[[#This Row],[h (mm)]]*Table1123457[[#This Row],[L(mm)]])</f>
        <v>3.9548022598870055E-4</v>
      </c>
      <c r="P97" s="145">
        <f>Table1123457[[#This Row],[M (KN.mm)]]/(Table1123457[[#This Row],[b (mm)]]*Table1123457[[#This Row],[d (mm)]]*Table1123457[[#This Row],[L(mm)]])</f>
        <v>4.1666666666666669E-4</v>
      </c>
      <c r="Q97" s="145">
        <f>Table1123457[[#This Row],[M (KN.mm)]]/(Table1123457[[#This Row],[b (mm)]]*Table1123457[[#This Row],[h (mm)]]*Table1123457[[#This Row],[L(mm)]]*Table1123457[[#This Row],[fc (Mpa)]])</f>
        <v>1.1912054999659655E-5</v>
      </c>
      <c r="R97" s="145">
        <f>Table1123457[[#This Row],[M (KN.mm)]]/(Table1123457[[#This Row],[b (mm)]]*Table1123457[[#This Row],[h (mm)]]*Table1123457[[#This Row],[L(mm)]]/2)</f>
        <v>7.9096045197740109E-4</v>
      </c>
      <c r="S97" s="145">
        <f>Table1123457[[#This Row],[M (KN.mm)]]/(Table1123457[[#This Row],[a (mm)]]*Table1123457[[#This Row],[b (mm)]]*Table1123457[[#This Row],[h (mm)]]*Table1123457[[#This Row],[L(mm)]]/2)</f>
        <v>1.9529887703145707E-7</v>
      </c>
      <c r="T97" s="111">
        <f>G97/($AL$5*AH97*0.001*Table1123457[[#This Row],[pho (%)]])</f>
        <v>8.0828817192473861E-7</v>
      </c>
      <c r="U97" s="145">
        <f>Table1123457[[#This Row],[M (KN.mm)]]/(Table1123457[[#This Row],[b (mm)]]*Table1123457[[#This Row],[d (mm)]]*Table1123457[[#This Row],[pho (%)]])</f>
        <v>4.0662650602409638</v>
      </c>
      <c r="V97" s="145">
        <f>E97*224.8/(2*SQRT(Table1123457[[#This Row],[fc (Mpa)]]*145.037)*Table1123457[[#This Row],[b (mm)]]*Table1123457[[#This Row],[d (mm)]]*(1/25.4)^2)</f>
        <v>0.87085139635152264</v>
      </c>
      <c r="W97" s="145">
        <f>Table1123457[[#This Row],[M (KN.mm)]]/$G$101</f>
        <v>0.7</v>
      </c>
      <c r="X97" s="111">
        <f t="shared" si="9"/>
        <v>0.87085139635152264</v>
      </c>
      <c r="Y97" s="111">
        <v>4050</v>
      </c>
      <c r="Z97" s="111">
        <v>1400</v>
      </c>
      <c r="AA97" s="111">
        <v>1475</v>
      </c>
      <c r="AB97" s="111">
        <v>300</v>
      </c>
      <c r="AC97" s="7">
        <v>33.200000000000003</v>
      </c>
      <c r="AD97" s="135">
        <f>Table1123457[[#This Row],[pho (%)]]/100*Table1123457[[#This Row],[b (mm)]]*Table1123457[[#This Row],[h (mm)]]</f>
        <v>3672.7500000000005</v>
      </c>
      <c r="AE97" s="135">
        <v>0.83</v>
      </c>
      <c r="AF97" s="160">
        <v>525</v>
      </c>
      <c r="AG97" s="135">
        <f>(1/3-0.21*(MIN(Table1123457[[#This Row],[b (mm)]],AA97)/MAX(Table1123457[[#This Row],[b (mm)]],AA97))*(MIN(Table1123457[[#This Row],[b (mm)]],AA97)^4/(12*MAX(Table1123457[[#This Row],[b (mm)]],AA97)^4)))*MAX(Table1123457[[#This Row],[b (mm)]],AA97)*MIN(Table1123457[[#This Row],[b (mm)]],AA97)^3</f>
        <v>13274757428.370747</v>
      </c>
      <c r="AH97" s="135">
        <f>Table1123457[[#This Row],[b (mm)]]*AA97^3/12</f>
        <v>80226171875</v>
      </c>
      <c r="AI97" s="111">
        <v>8100</v>
      </c>
      <c r="AK97" s="107"/>
    </row>
    <row r="98" spans="1:37" x14ac:dyDescent="0.25">
      <c r="A98" s="251" t="s">
        <v>156</v>
      </c>
      <c r="B98" s="251">
        <v>3</v>
      </c>
      <c r="C98" s="185">
        <v>97</v>
      </c>
      <c r="D98" s="185">
        <f>Table1123457[[#This Row],[a (mm)]]/Table1123457[[#This Row],[d (mm)]]</f>
        <v>2.8928571428571428</v>
      </c>
      <c r="E98" s="252">
        <v>450</v>
      </c>
      <c r="F98" s="137">
        <f>Table1123457[[#This Row],[d (mm)]]</f>
        <v>1400</v>
      </c>
      <c r="G98" s="135">
        <f t="shared" si="11"/>
        <v>1822500</v>
      </c>
      <c r="H98" s="135">
        <f t="shared" si="12"/>
        <v>8.6255894918254244E-7</v>
      </c>
      <c r="I98" s="135">
        <f>G98/(Table1123457[[#This Row],[b (mm)]]*Z98^2)</f>
        <v>3.0994897959183672E-3</v>
      </c>
      <c r="J98" s="135">
        <f t="shared" si="13"/>
        <v>0.67513221339178908</v>
      </c>
      <c r="K98" s="135">
        <f t="shared" si="14"/>
        <v>1.0795835832340115E-6</v>
      </c>
      <c r="L98" s="135">
        <f>E98/(Table1123457[[#This Row],[b (mm)]]*Z98)</f>
        <v>1.0714285714285715E-3</v>
      </c>
      <c r="M98" s="135">
        <f>Table1123457[[#This Row],[M (KN.mm)]]/(Table1123457[[#This Row],[b (mm)]]*Table1123457[[#This Row],[d (mm)]])</f>
        <v>4.3392857142857144</v>
      </c>
      <c r="N98" s="135">
        <f>Table1123457[[#This Row],[M (KN.mm)]]/(Table1123457[[#This Row],[b (mm)]]*Table1123457[[#This Row],[h (mm)]])</f>
        <v>4.1186440677966099</v>
      </c>
      <c r="O98" s="145">
        <f>Table1123457[[#This Row],[M (KN.mm)]]/(Table1123457[[#This Row],[b (mm)]]*Table1123457[[#This Row],[h (mm)]]*Table1123457[[#This Row],[L(mm)]])</f>
        <v>5.0847457627118645E-4</v>
      </c>
      <c r="P98" s="145">
        <f>Table1123457[[#This Row],[M (KN.mm)]]/(Table1123457[[#This Row],[b (mm)]]*Table1123457[[#This Row],[d (mm)]]*Table1123457[[#This Row],[L(mm)]])</f>
        <v>5.3571428571428574E-4</v>
      </c>
      <c r="Q98" s="145">
        <f>Table1123457[[#This Row],[M (KN.mm)]]/(Table1123457[[#This Row],[b (mm)]]*Table1123457[[#This Row],[h (mm)]]*Table1123457[[#This Row],[L(mm)]]*Table1123457[[#This Row],[fc (Mpa)]])</f>
        <v>1.5315499285276699E-5</v>
      </c>
      <c r="R98" s="145">
        <f>Table1123457[[#This Row],[M (KN.mm)]]/(Table1123457[[#This Row],[b (mm)]]*Table1123457[[#This Row],[h (mm)]]*Table1123457[[#This Row],[L(mm)]]/2)</f>
        <v>1.0169491525423729E-3</v>
      </c>
      <c r="S98" s="145">
        <f>Table1123457[[#This Row],[M (KN.mm)]]/(Table1123457[[#This Row],[a (mm)]]*Table1123457[[#This Row],[b (mm)]]*Table1123457[[#This Row],[h (mm)]]*Table1123457[[#This Row],[L(mm)]]/2)</f>
        <v>2.5109855618330192E-7</v>
      </c>
      <c r="T98" s="111">
        <f>G98/($AL$5*AH98*0.001*Table1123457[[#This Row],[pho (%)]])</f>
        <v>1.0392276496175211E-6</v>
      </c>
      <c r="U98" s="145">
        <f>Table1123457[[#This Row],[M (KN.mm)]]/(Table1123457[[#This Row],[b (mm)]]*Table1123457[[#This Row],[d (mm)]]*Table1123457[[#This Row],[pho (%)]])</f>
        <v>5.2280550774526677</v>
      </c>
      <c r="V98" s="145">
        <f>E98*224.8/(2*SQRT(Table1123457[[#This Row],[fc (Mpa)]]*145.037)*Table1123457[[#This Row],[b (mm)]]*Table1123457[[#This Row],[d (mm)]]*(1/25.4)^2)</f>
        <v>1.1196660810233863</v>
      </c>
      <c r="W98" s="145">
        <f>Table1123457[[#This Row],[M (KN.mm)]]/$G$101</f>
        <v>0.9</v>
      </c>
      <c r="X98" s="111">
        <f t="shared" si="9"/>
        <v>1.1196660810233863</v>
      </c>
      <c r="Y98" s="111">
        <v>4050</v>
      </c>
      <c r="Z98" s="111">
        <v>1400</v>
      </c>
      <c r="AA98" s="111">
        <v>1475</v>
      </c>
      <c r="AB98" s="111">
        <v>300</v>
      </c>
      <c r="AC98" s="7">
        <v>33.200000000000003</v>
      </c>
      <c r="AD98" s="135">
        <f>Table1123457[[#This Row],[pho (%)]]/100*Table1123457[[#This Row],[b (mm)]]*Table1123457[[#This Row],[h (mm)]]</f>
        <v>3672.7500000000005</v>
      </c>
      <c r="AE98" s="135">
        <v>0.83</v>
      </c>
      <c r="AF98" s="160">
        <v>525</v>
      </c>
      <c r="AG98" s="135">
        <f>(1/3-0.21*(MIN(Table1123457[[#This Row],[b (mm)]],AA98)/MAX(Table1123457[[#This Row],[b (mm)]],AA98))*(MIN(Table1123457[[#This Row],[b (mm)]],AA98)^4/(12*MAX(Table1123457[[#This Row],[b (mm)]],AA98)^4)))*MAX(Table1123457[[#This Row],[b (mm)]],AA98)*MIN(Table1123457[[#This Row],[b (mm)]],AA98)^3</f>
        <v>13274757428.370747</v>
      </c>
      <c r="AH98" s="135">
        <f>Table1123457[[#This Row],[b (mm)]]*AA98^3/12</f>
        <v>80226171875</v>
      </c>
      <c r="AI98" s="111">
        <v>8100</v>
      </c>
      <c r="AK98" s="107"/>
    </row>
    <row r="99" spans="1:37" x14ac:dyDescent="0.25">
      <c r="A99" s="251" t="s">
        <v>156</v>
      </c>
      <c r="B99" s="251">
        <v>4</v>
      </c>
      <c r="C99" s="185">
        <v>98</v>
      </c>
      <c r="D99" s="185">
        <f>Table1123457[[#This Row],[a (mm)]]/Table1123457[[#This Row],[d (mm)]]</f>
        <v>2.8928571428571428</v>
      </c>
      <c r="E99" s="252">
        <v>450</v>
      </c>
      <c r="F99" s="137">
        <f>Table1123457[[#This Row],[d (mm)]]</f>
        <v>1400</v>
      </c>
      <c r="G99" s="135">
        <f t="shared" si="11"/>
        <v>1822500</v>
      </c>
      <c r="H99" s="135">
        <f t="shared" si="12"/>
        <v>8.6255894918254244E-7</v>
      </c>
      <c r="I99" s="135">
        <f>G99/(Table1123457[[#This Row],[b (mm)]]*Z99^2)</f>
        <v>3.0994897959183672E-3</v>
      </c>
      <c r="J99" s="135">
        <f t="shared" si="13"/>
        <v>0.67513221339178908</v>
      </c>
      <c r="K99" s="135">
        <f t="shared" si="14"/>
        <v>1.0795835832340115E-6</v>
      </c>
      <c r="L99" s="135">
        <f>E99/(Table1123457[[#This Row],[b (mm)]]*Z99)</f>
        <v>1.0714285714285715E-3</v>
      </c>
      <c r="M99" s="135">
        <f>Table1123457[[#This Row],[M (KN.mm)]]/(Table1123457[[#This Row],[b (mm)]]*Table1123457[[#This Row],[d (mm)]])</f>
        <v>4.3392857142857144</v>
      </c>
      <c r="N99" s="135">
        <f>Table1123457[[#This Row],[M (KN.mm)]]/(Table1123457[[#This Row],[b (mm)]]*Table1123457[[#This Row],[h (mm)]])</f>
        <v>4.1186440677966099</v>
      </c>
      <c r="O99" s="145">
        <f>Table1123457[[#This Row],[M (KN.mm)]]/(Table1123457[[#This Row],[b (mm)]]*Table1123457[[#This Row],[h (mm)]]*Table1123457[[#This Row],[L(mm)]])</f>
        <v>5.0847457627118645E-4</v>
      </c>
      <c r="P99" s="145">
        <f>Table1123457[[#This Row],[M (KN.mm)]]/(Table1123457[[#This Row],[b (mm)]]*Table1123457[[#This Row],[d (mm)]]*Table1123457[[#This Row],[L(mm)]])</f>
        <v>5.3571428571428574E-4</v>
      </c>
      <c r="Q99" s="145">
        <f>Table1123457[[#This Row],[M (KN.mm)]]/(Table1123457[[#This Row],[b (mm)]]*Table1123457[[#This Row],[h (mm)]]*Table1123457[[#This Row],[L(mm)]]*Table1123457[[#This Row],[fc (Mpa)]])</f>
        <v>1.5315499285276699E-5</v>
      </c>
      <c r="R99" s="145">
        <f>Table1123457[[#This Row],[M (KN.mm)]]/(Table1123457[[#This Row],[b (mm)]]*Table1123457[[#This Row],[h (mm)]]*Table1123457[[#This Row],[L(mm)]]/2)</f>
        <v>1.0169491525423729E-3</v>
      </c>
      <c r="S99" s="145">
        <f>Table1123457[[#This Row],[M (KN.mm)]]/(Table1123457[[#This Row],[a (mm)]]*Table1123457[[#This Row],[b (mm)]]*Table1123457[[#This Row],[h (mm)]]*Table1123457[[#This Row],[L(mm)]]/2)</f>
        <v>2.5109855618330192E-7</v>
      </c>
      <c r="T99" s="111">
        <f>G99/($AL$5*AH99*0.001*Table1123457[[#This Row],[pho (%)]])</f>
        <v>1.0392276496175211E-6</v>
      </c>
      <c r="U99" s="145">
        <f>Table1123457[[#This Row],[M (KN.mm)]]/(Table1123457[[#This Row],[b (mm)]]*Table1123457[[#This Row],[d (mm)]]*Table1123457[[#This Row],[pho (%)]])</f>
        <v>5.2280550774526677</v>
      </c>
      <c r="V99" s="145">
        <f>E99*224.8/(2*SQRT(Table1123457[[#This Row],[fc (Mpa)]]*145.037)*Table1123457[[#This Row],[b (mm)]]*Table1123457[[#This Row],[d (mm)]]*(1/25.4)^2)</f>
        <v>1.1196660810233863</v>
      </c>
      <c r="W99" s="145">
        <f>Table1123457[[#This Row],[M (KN.mm)]]/$G$101</f>
        <v>0.9</v>
      </c>
      <c r="X99" s="111">
        <f t="shared" si="9"/>
        <v>1.1196660810233863</v>
      </c>
      <c r="Y99" s="111">
        <v>4050</v>
      </c>
      <c r="Z99" s="111">
        <v>1400</v>
      </c>
      <c r="AA99" s="111">
        <v>1475</v>
      </c>
      <c r="AB99" s="111">
        <v>300</v>
      </c>
      <c r="AC99" s="7">
        <v>33.200000000000003</v>
      </c>
      <c r="AD99" s="135">
        <f>Table1123457[[#This Row],[pho (%)]]/100*Table1123457[[#This Row],[b (mm)]]*Table1123457[[#This Row],[h (mm)]]</f>
        <v>3672.7500000000005</v>
      </c>
      <c r="AE99" s="135">
        <v>0.83</v>
      </c>
      <c r="AF99" s="160">
        <v>525</v>
      </c>
      <c r="AG99" s="135">
        <f>(1/3-0.21*(MIN(Table1123457[[#This Row],[b (mm)]],AA99)/MAX(Table1123457[[#This Row],[b (mm)]],AA99))*(MIN(Table1123457[[#This Row],[b (mm)]],AA99)^4/(12*MAX(Table1123457[[#This Row],[b (mm)]],AA99)^4)))*MAX(Table1123457[[#This Row],[b (mm)]],AA99)*MIN(Table1123457[[#This Row],[b (mm)]],AA99)^3</f>
        <v>13274757428.370747</v>
      </c>
      <c r="AH99" s="135">
        <f>Table1123457[[#This Row],[b (mm)]]*AA99^3/12</f>
        <v>80226171875</v>
      </c>
      <c r="AI99" s="111">
        <v>8100</v>
      </c>
      <c r="AK99" s="107"/>
    </row>
    <row r="100" spans="1:37" x14ac:dyDescent="0.25">
      <c r="A100" s="251" t="s">
        <v>156</v>
      </c>
      <c r="B100" s="251">
        <v>5</v>
      </c>
      <c r="C100" s="185">
        <v>99</v>
      </c>
      <c r="D100" s="185">
        <f>Table1123457[[#This Row],[a (mm)]]/Table1123457[[#This Row],[d (mm)]]</f>
        <v>2.8928571428571428</v>
      </c>
      <c r="E100" s="252">
        <v>500</v>
      </c>
      <c r="F100" s="137">
        <f>Table1123457[[#This Row],[d (mm)]]</f>
        <v>1400</v>
      </c>
      <c r="G100" s="135">
        <f t="shared" si="11"/>
        <v>2025000</v>
      </c>
      <c r="H100" s="135">
        <f t="shared" si="12"/>
        <v>9.5839883242504707E-7</v>
      </c>
      <c r="I100" s="135">
        <f>G100/(Table1123457[[#This Row],[b (mm)]]*Z100^2)</f>
        <v>3.4438775510204083E-3</v>
      </c>
      <c r="J100" s="135">
        <f t="shared" si="13"/>
        <v>0.75014690376865456</v>
      </c>
      <c r="K100" s="135">
        <f t="shared" si="14"/>
        <v>1.1995373147044573E-6</v>
      </c>
      <c r="L100" s="135">
        <f>E100/(Table1123457[[#This Row],[b (mm)]]*Z100)</f>
        <v>1.1904761904761906E-3</v>
      </c>
      <c r="M100" s="135">
        <f>Table1123457[[#This Row],[M (KN.mm)]]/(Table1123457[[#This Row],[b (mm)]]*Table1123457[[#This Row],[d (mm)]])</f>
        <v>4.8214285714285712</v>
      </c>
      <c r="N100" s="135">
        <f>Table1123457[[#This Row],[M (KN.mm)]]/(Table1123457[[#This Row],[b (mm)]]*Table1123457[[#This Row],[h (mm)]])</f>
        <v>4.5762711864406782</v>
      </c>
      <c r="O100" s="145">
        <f>Table1123457[[#This Row],[M (KN.mm)]]/(Table1123457[[#This Row],[b (mm)]]*Table1123457[[#This Row],[h (mm)]]*Table1123457[[#This Row],[L(mm)]])</f>
        <v>5.649717514124294E-4</v>
      </c>
      <c r="P100" s="145">
        <f>Table1123457[[#This Row],[M (KN.mm)]]/(Table1123457[[#This Row],[b (mm)]]*Table1123457[[#This Row],[d (mm)]]*Table1123457[[#This Row],[L(mm)]])</f>
        <v>5.9523809523809529E-4</v>
      </c>
      <c r="Q100" s="145">
        <f>Table1123457[[#This Row],[M (KN.mm)]]/(Table1123457[[#This Row],[b (mm)]]*Table1123457[[#This Row],[h (mm)]]*Table1123457[[#This Row],[L(mm)]]*Table1123457[[#This Row],[fc (Mpa)]])</f>
        <v>1.7017221428085221E-5</v>
      </c>
      <c r="R100" s="145">
        <f>Table1123457[[#This Row],[M (KN.mm)]]/(Table1123457[[#This Row],[b (mm)]]*Table1123457[[#This Row],[h (mm)]]*Table1123457[[#This Row],[L(mm)]]/2)</f>
        <v>1.1299435028248588E-3</v>
      </c>
      <c r="S100" s="145">
        <f>Table1123457[[#This Row],[M (KN.mm)]]/(Table1123457[[#This Row],[a (mm)]]*Table1123457[[#This Row],[b (mm)]]*Table1123457[[#This Row],[h (mm)]]*Table1123457[[#This Row],[L(mm)]]/2)</f>
        <v>2.7899839575922437E-7</v>
      </c>
      <c r="T100" s="111">
        <f>G100/($AL$5*AH100*0.001*Table1123457[[#This Row],[pho (%)]])</f>
        <v>1.1546973884639123E-6</v>
      </c>
      <c r="U100" s="145">
        <f>Table1123457[[#This Row],[M (KN.mm)]]/(Table1123457[[#This Row],[b (mm)]]*Table1123457[[#This Row],[d (mm)]]*Table1123457[[#This Row],[pho (%)]])</f>
        <v>5.8089500860585197</v>
      </c>
      <c r="V100" s="145">
        <f>E100*224.8/(2*SQRT(Table1123457[[#This Row],[fc (Mpa)]]*145.037)*Table1123457[[#This Row],[b (mm)]]*Table1123457[[#This Row],[d (mm)]]*(1/25.4)^2)</f>
        <v>1.244073423359318</v>
      </c>
      <c r="W100" s="145">
        <f>Table1123457[[#This Row],[M (KN.mm)]]/$G$101</f>
        <v>1</v>
      </c>
      <c r="X100" s="111">
        <f t="shared" si="9"/>
        <v>1.244073423359318</v>
      </c>
      <c r="Y100" s="111">
        <v>4050</v>
      </c>
      <c r="Z100" s="111">
        <v>1400</v>
      </c>
      <c r="AA100" s="111">
        <v>1475</v>
      </c>
      <c r="AB100" s="111">
        <v>300</v>
      </c>
      <c r="AC100" s="7">
        <v>33.200000000000003</v>
      </c>
      <c r="AD100" s="135">
        <f>Table1123457[[#This Row],[pho (%)]]/100*Table1123457[[#This Row],[b (mm)]]*Table1123457[[#This Row],[h (mm)]]</f>
        <v>3672.7500000000005</v>
      </c>
      <c r="AE100" s="135">
        <v>0.83</v>
      </c>
      <c r="AF100" s="160">
        <v>525</v>
      </c>
      <c r="AG100" s="135">
        <f>(1/3-0.21*(MIN(Table1123457[[#This Row],[b (mm)]],AA100)/MAX(Table1123457[[#This Row],[b (mm)]],AA100))*(MIN(Table1123457[[#This Row],[b (mm)]],AA100)^4/(12*MAX(Table1123457[[#This Row],[b (mm)]],AA100)^4)))*MAX(Table1123457[[#This Row],[b (mm)]],AA100)*MIN(Table1123457[[#This Row],[b (mm)]],AA100)^3</f>
        <v>13274757428.370747</v>
      </c>
      <c r="AH100" s="135">
        <f>Table1123457[[#This Row],[b (mm)]]*AA100^3/12</f>
        <v>80226171875</v>
      </c>
      <c r="AI100" s="111">
        <v>8100</v>
      </c>
      <c r="AK100" s="107"/>
    </row>
    <row r="101" spans="1:37" x14ac:dyDescent="0.25">
      <c r="A101" s="251" t="s">
        <v>156</v>
      </c>
      <c r="B101" s="251" t="s">
        <v>141</v>
      </c>
      <c r="C101" s="185">
        <v>100</v>
      </c>
      <c r="D101" s="185">
        <f>Table1123457[[#This Row],[a (mm)]]/Table1123457[[#This Row],[d (mm)]]</f>
        <v>2.8928571428571428</v>
      </c>
      <c r="E101" s="252">
        <v>500</v>
      </c>
      <c r="F101" s="137">
        <f>Table1123457[[#This Row],[d (mm)]]</f>
        <v>1400</v>
      </c>
      <c r="G101" s="135">
        <f t="shared" ref="G101:G130" si="15">E101*Y101</f>
        <v>2025000</v>
      </c>
      <c r="H101" s="135">
        <f t="shared" ref="H101:H130" si="16">G101/($AL$5*AH101*0.001)</f>
        <v>9.5839883242504707E-7</v>
      </c>
      <c r="I101" s="135">
        <f>G101/(Table1123457[[#This Row],[b (mm)]]*Z101^2)</f>
        <v>3.4438775510204083E-3</v>
      </c>
      <c r="J101" s="135">
        <f t="shared" ref="J101:J130" si="17">G101/(AD101*AF101*Z101*0.001)</f>
        <v>0.75014690376865456</v>
      </c>
      <c r="K101" s="135">
        <f t="shared" ref="K101:K130" si="18">E101/($AL$4*AG101*0.001)</f>
        <v>1.1995373147044573E-6</v>
      </c>
      <c r="L101" s="135">
        <f>E101/(Table1123457[[#This Row],[b (mm)]]*Z101)</f>
        <v>1.1904761904761906E-3</v>
      </c>
      <c r="M101" s="135">
        <f>Table1123457[[#This Row],[M (KN.mm)]]/(Table1123457[[#This Row],[b (mm)]]*Table1123457[[#This Row],[d (mm)]])</f>
        <v>4.8214285714285712</v>
      </c>
      <c r="N101" s="135">
        <f>Table1123457[[#This Row],[M (KN.mm)]]/(Table1123457[[#This Row],[b (mm)]]*Table1123457[[#This Row],[h (mm)]])</f>
        <v>4.5762711864406782</v>
      </c>
      <c r="O101" s="145">
        <f>Table1123457[[#This Row],[M (KN.mm)]]/(Table1123457[[#This Row],[b (mm)]]*Table1123457[[#This Row],[h (mm)]]*Table1123457[[#This Row],[L(mm)]])</f>
        <v>5.649717514124294E-4</v>
      </c>
      <c r="P101" s="145">
        <f>Table1123457[[#This Row],[M (KN.mm)]]/(Table1123457[[#This Row],[b (mm)]]*Table1123457[[#This Row],[d (mm)]]*Table1123457[[#This Row],[L(mm)]])</f>
        <v>5.9523809523809529E-4</v>
      </c>
      <c r="Q101" s="145">
        <f>Table1123457[[#This Row],[M (KN.mm)]]/(Table1123457[[#This Row],[b (mm)]]*Table1123457[[#This Row],[h (mm)]]*Table1123457[[#This Row],[L(mm)]]*Table1123457[[#This Row],[fc (Mpa)]])</f>
        <v>1.7017221428085221E-5</v>
      </c>
      <c r="R101" s="145">
        <f>Table1123457[[#This Row],[M (KN.mm)]]/(Table1123457[[#This Row],[b (mm)]]*Table1123457[[#This Row],[h (mm)]]*Table1123457[[#This Row],[L(mm)]]/2)</f>
        <v>1.1299435028248588E-3</v>
      </c>
      <c r="S101" s="145">
        <f>Table1123457[[#This Row],[M (KN.mm)]]/(Table1123457[[#This Row],[a (mm)]]*Table1123457[[#This Row],[b (mm)]]*Table1123457[[#This Row],[h (mm)]]*Table1123457[[#This Row],[L(mm)]]/2)</f>
        <v>2.7899839575922437E-7</v>
      </c>
      <c r="T101" s="111">
        <f>G101/($AL$5*AH101*0.001*Table1123457[[#This Row],[pho (%)]])</f>
        <v>1.1546973884639123E-6</v>
      </c>
      <c r="U101" s="145">
        <f>Table1123457[[#This Row],[M (KN.mm)]]/(Table1123457[[#This Row],[b (mm)]]*Table1123457[[#This Row],[d (mm)]]*Table1123457[[#This Row],[pho (%)]])</f>
        <v>5.8089500860585197</v>
      </c>
      <c r="V101" s="145">
        <f>E101*224.8/(2*SQRT(Table1123457[[#This Row],[fc (Mpa)]]*145.037)*Table1123457[[#This Row],[b (mm)]]*Table1123457[[#This Row],[d (mm)]]*(1/25.4)^2)</f>
        <v>1.244073423359318</v>
      </c>
      <c r="W101" s="145">
        <f>Table1123457[[#This Row],[M (KN.mm)]]/$G$101</f>
        <v>1</v>
      </c>
      <c r="X101" s="111">
        <f t="shared" si="9"/>
        <v>1.244073423359318</v>
      </c>
      <c r="Y101" s="111">
        <v>4050</v>
      </c>
      <c r="Z101" s="111">
        <v>1400</v>
      </c>
      <c r="AA101" s="111">
        <v>1475</v>
      </c>
      <c r="AB101" s="111">
        <v>300</v>
      </c>
      <c r="AC101" s="7">
        <v>33.200000000000003</v>
      </c>
      <c r="AD101" s="135">
        <f>Table1123457[[#This Row],[pho (%)]]/100*Table1123457[[#This Row],[b (mm)]]*Table1123457[[#This Row],[h (mm)]]</f>
        <v>3672.7500000000005</v>
      </c>
      <c r="AE101" s="135">
        <v>0.83</v>
      </c>
      <c r="AF101" s="160">
        <v>525</v>
      </c>
      <c r="AG101" s="135">
        <f>(1/3-0.21*(MIN(Table1123457[[#This Row],[b (mm)]],AA101)/MAX(Table1123457[[#This Row],[b (mm)]],AA101))*(MIN(Table1123457[[#This Row],[b (mm)]],AA101)^4/(12*MAX(Table1123457[[#This Row],[b (mm)]],AA101)^4)))*MAX(Table1123457[[#This Row],[b (mm)]],AA101)*MIN(Table1123457[[#This Row],[b (mm)]],AA101)^3</f>
        <v>13274757428.370747</v>
      </c>
      <c r="AH101" s="135">
        <f>Table1123457[[#This Row],[b (mm)]]*AA101^3/12</f>
        <v>80226171875</v>
      </c>
      <c r="AI101" s="111">
        <v>8100</v>
      </c>
      <c r="AK101" s="107"/>
    </row>
    <row r="102" spans="1:37" x14ac:dyDescent="0.25">
      <c r="A102" s="253" t="s">
        <v>157</v>
      </c>
      <c r="B102" s="253">
        <v>2</v>
      </c>
      <c r="C102" s="185">
        <v>101</v>
      </c>
      <c r="D102" s="185">
        <f>Table1123457[[#This Row],[a (mm)]]/Table1123457[[#This Row],[d (mm)]]</f>
        <v>2.8928571428571428</v>
      </c>
      <c r="E102" s="254">
        <v>225</v>
      </c>
      <c r="F102" s="137">
        <f>Table1123457[[#This Row],[d (mm)]]</f>
        <v>1400</v>
      </c>
      <c r="G102" s="135">
        <f t="shared" si="15"/>
        <v>911250</v>
      </c>
      <c r="H102" s="135">
        <f t="shared" si="16"/>
        <v>4.3127947459127122E-7</v>
      </c>
      <c r="I102" s="135">
        <f>G102/(Table1123457[[#This Row],[b (mm)]]*Z102^2)</f>
        <v>1.5497448979591836E-3</v>
      </c>
      <c r="J102" s="135">
        <f t="shared" si="17"/>
        <v>0.33756610669589454</v>
      </c>
      <c r="K102" s="135">
        <f t="shared" si="18"/>
        <v>5.3979179161700577E-7</v>
      </c>
      <c r="L102" s="135">
        <f>E102/(Table1123457[[#This Row],[b (mm)]]*Z102)</f>
        <v>5.3571428571428574E-4</v>
      </c>
      <c r="M102" s="135">
        <f>Table1123457[[#This Row],[M (KN.mm)]]/(Table1123457[[#This Row],[b (mm)]]*Table1123457[[#This Row],[d (mm)]])</f>
        <v>2.1696428571428572</v>
      </c>
      <c r="N102" s="135">
        <f>Table1123457[[#This Row],[M (KN.mm)]]/(Table1123457[[#This Row],[b (mm)]]*Table1123457[[#This Row],[h (mm)]])</f>
        <v>2.0593220338983049</v>
      </c>
      <c r="O102" s="145">
        <f>Table1123457[[#This Row],[M (KN.mm)]]/(Table1123457[[#This Row],[b (mm)]]*Table1123457[[#This Row],[h (mm)]]*Table1123457[[#This Row],[L(mm)]])</f>
        <v>2.5423728813559322E-4</v>
      </c>
      <c r="P102" s="145">
        <f>Table1123457[[#This Row],[M (KN.mm)]]/(Table1123457[[#This Row],[b (mm)]]*Table1123457[[#This Row],[d (mm)]]*Table1123457[[#This Row],[L(mm)]])</f>
        <v>2.6785714285714287E-4</v>
      </c>
      <c r="Q102" s="145">
        <f>Table1123457[[#This Row],[M (KN.mm)]]/(Table1123457[[#This Row],[b (mm)]]*Table1123457[[#This Row],[h (mm)]]*Table1123457[[#This Row],[L(mm)]]*Table1123457[[#This Row],[fc (Mpa)]])</f>
        <v>9.0475903251100787E-6</v>
      </c>
      <c r="R102" s="145">
        <f>Table1123457[[#This Row],[M (KN.mm)]]/(Table1123457[[#This Row],[b (mm)]]*Table1123457[[#This Row],[h (mm)]]*Table1123457[[#This Row],[L(mm)]]/2)</f>
        <v>5.0847457627118645E-4</v>
      </c>
      <c r="S102" s="145">
        <f>Table1123457[[#This Row],[M (KN.mm)]]/(Table1123457[[#This Row],[a (mm)]]*Table1123457[[#This Row],[b (mm)]]*Table1123457[[#This Row],[h (mm)]]*Table1123457[[#This Row],[L(mm)]]/2)</f>
        <v>1.2554927809165096E-7</v>
      </c>
      <c r="T102" s="111">
        <f>G102/($AL$5*AH102*0.001*Table1123457[[#This Row],[pho (%)]])</f>
        <v>5.1961382480876054E-7</v>
      </c>
      <c r="U102" s="145">
        <f>Table1123457[[#This Row],[M (KN.mm)]]/(Table1123457[[#This Row],[b (mm)]]*Table1123457[[#This Row],[d (mm)]]*Table1123457[[#This Row],[pho (%)]])</f>
        <v>2.6140275387263339</v>
      </c>
      <c r="V102" s="145">
        <f>E102*224.8/(2*SQRT(Table1123457[[#This Row],[fc (Mpa)]]*145.037)*Table1123457[[#This Row],[b (mm)]]*Table1123457[[#This Row],[d (mm)]]*(1/25.4)^2)</f>
        <v>0.60851937172112514</v>
      </c>
      <c r="W102" s="145">
        <f>Table1123457[[#This Row],[M (KN.mm)]]/$G$105</f>
        <v>0.49668874172185429</v>
      </c>
      <c r="X102" s="111">
        <f t="shared" si="9"/>
        <v>0.60851937172112514</v>
      </c>
      <c r="Y102" s="111">
        <v>4050</v>
      </c>
      <c r="Z102" s="111">
        <v>1400</v>
      </c>
      <c r="AA102" s="111">
        <v>1475</v>
      </c>
      <c r="AB102" s="111">
        <v>300</v>
      </c>
      <c r="AC102" s="7">
        <v>28.1</v>
      </c>
      <c r="AD102" s="135">
        <f>Table1123457[[#This Row],[pho (%)]]/100*Table1123457[[#This Row],[b (mm)]]*Table1123457[[#This Row],[h (mm)]]</f>
        <v>3672.7500000000005</v>
      </c>
      <c r="AE102" s="135">
        <v>0.83</v>
      </c>
      <c r="AF102" s="160">
        <v>525</v>
      </c>
      <c r="AG102" s="135">
        <f>(1/3-0.21*(MIN(Table1123457[[#This Row],[b (mm)]],AA102)/MAX(Table1123457[[#This Row],[b (mm)]],AA102))*(MIN(Table1123457[[#This Row],[b (mm)]],AA102)^4/(12*MAX(Table1123457[[#This Row],[b (mm)]],AA102)^4)))*MAX(Table1123457[[#This Row],[b (mm)]],AA102)*MIN(Table1123457[[#This Row],[b (mm)]],AA102)^3</f>
        <v>13274757428.370747</v>
      </c>
      <c r="AH102" s="135">
        <f>Table1123457[[#This Row],[b (mm)]]*AA102^3/12</f>
        <v>80226171875</v>
      </c>
      <c r="AI102" s="111">
        <v>8100</v>
      </c>
      <c r="AK102" s="107"/>
    </row>
    <row r="103" spans="1:37" x14ac:dyDescent="0.25">
      <c r="A103" s="253" t="s">
        <v>157</v>
      </c>
      <c r="B103" s="253">
        <v>3</v>
      </c>
      <c r="C103" s="185">
        <v>102</v>
      </c>
      <c r="D103" s="185">
        <f>Table1123457[[#This Row],[a (mm)]]/Table1123457[[#This Row],[d (mm)]]</f>
        <v>2.8928571428571428</v>
      </c>
      <c r="E103" s="254">
        <v>350</v>
      </c>
      <c r="F103" s="137">
        <f>Table1123457[[#This Row],[d (mm)]]</f>
        <v>1400</v>
      </c>
      <c r="G103" s="135">
        <f t="shared" si="15"/>
        <v>1417500</v>
      </c>
      <c r="H103" s="135">
        <f t="shared" si="16"/>
        <v>6.7087918269753299E-7</v>
      </c>
      <c r="I103" s="135">
        <f>G103/(Table1123457[[#This Row],[b (mm)]]*Z103^2)</f>
        <v>2.4107142857142856E-3</v>
      </c>
      <c r="J103" s="135">
        <f t="shared" si="17"/>
        <v>0.52510283263805824</v>
      </c>
      <c r="K103" s="135">
        <f t="shared" si="18"/>
        <v>8.3967612029312006E-7</v>
      </c>
      <c r="L103" s="135">
        <f>E103/(Table1123457[[#This Row],[b (mm)]]*Z103)</f>
        <v>8.3333333333333339E-4</v>
      </c>
      <c r="M103" s="135">
        <f>Table1123457[[#This Row],[M (KN.mm)]]/(Table1123457[[#This Row],[b (mm)]]*Table1123457[[#This Row],[d (mm)]])</f>
        <v>3.375</v>
      </c>
      <c r="N103" s="135">
        <f>Table1123457[[#This Row],[M (KN.mm)]]/(Table1123457[[#This Row],[b (mm)]]*Table1123457[[#This Row],[h (mm)]])</f>
        <v>3.2033898305084745</v>
      </c>
      <c r="O103" s="145">
        <f>Table1123457[[#This Row],[M (KN.mm)]]/(Table1123457[[#This Row],[b (mm)]]*Table1123457[[#This Row],[h (mm)]]*Table1123457[[#This Row],[L(mm)]])</f>
        <v>3.9548022598870055E-4</v>
      </c>
      <c r="P103" s="145">
        <f>Table1123457[[#This Row],[M (KN.mm)]]/(Table1123457[[#This Row],[b (mm)]]*Table1123457[[#This Row],[d (mm)]]*Table1123457[[#This Row],[L(mm)]])</f>
        <v>4.1666666666666669E-4</v>
      </c>
      <c r="Q103" s="145">
        <f>Table1123457[[#This Row],[M (KN.mm)]]/(Table1123457[[#This Row],[b (mm)]]*Table1123457[[#This Row],[h (mm)]]*Table1123457[[#This Row],[L(mm)]]*Table1123457[[#This Row],[fc (Mpa)]])</f>
        <v>1.4074029394615678E-5</v>
      </c>
      <c r="R103" s="145">
        <f>Table1123457[[#This Row],[M (KN.mm)]]/(Table1123457[[#This Row],[b (mm)]]*Table1123457[[#This Row],[h (mm)]]*Table1123457[[#This Row],[L(mm)]]/2)</f>
        <v>7.9096045197740109E-4</v>
      </c>
      <c r="S103" s="145">
        <f>Table1123457[[#This Row],[M (KN.mm)]]/(Table1123457[[#This Row],[a (mm)]]*Table1123457[[#This Row],[b (mm)]]*Table1123457[[#This Row],[h (mm)]]*Table1123457[[#This Row],[L(mm)]]/2)</f>
        <v>1.9529887703145707E-7</v>
      </c>
      <c r="T103" s="111">
        <f>G103/($AL$5*AH103*0.001*Table1123457[[#This Row],[pho (%)]])</f>
        <v>8.0828817192473861E-7</v>
      </c>
      <c r="U103" s="145">
        <f>Table1123457[[#This Row],[M (KN.mm)]]/(Table1123457[[#This Row],[b (mm)]]*Table1123457[[#This Row],[d (mm)]]*Table1123457[[#This Row],[pho (%)]])</f>
        <v>4.0662650602409638</v>
      </c>
      <c r="V103" s="145">
        <f>E103*224.8/(2*SQRT(Table1123457[[#This Row],[fc (Mpa)]]*145.037)*Table1123457[[#This Row],[b (mm)]]*Table1123457[[#This Row],[d (mm)]]*(1/25.4)^2)</f>
        <v>0.94658568934397247</v>
      </c>
      <c r="W103" s="145">
        <f>Table1123457[[#This Row],[M (KN.mm)]]/$G$105</f>
        <v>0.77262693156732887</v>
      </c>
      <c r="X103" s="111">
        <f t="shared" si="9"/>
        <v>0.94658568934397247</v>
      </c>
      <c r="Y103" s="111">
        <v>4050</v>
      </c>
      <c r="Z103" s="111">
        <v>1400</v>
      </c>
      <c r="AA103" s="111">
        <v>1475</v>
      </c>
      <c r="AB103" s="111">
        <v>300</v>
      </c>
      <c r="AC103" s="7">
        <v>28.1</v>
      </c>
      <c r="AD103" s="135">
        <f>Table1123457[[#This Row],[pho (%)]]/100*Table1123457[[#This Row],[b (mm)]]*Table1123457[[#This Row],[h (mm)]]</f>
        <v>3672.7500000000005</v>
      </c>
      <c r="AE103" s="135">
        <v>0.83</v>
      </c>
      <c r="AF103" s="160">
        <v>525</v>
      </c>
      <c r="AG103" s="135">
        <f>(1/3-0.21*(MIN(Table1123457[[#This Row],[b (mm)]],AA103)/MAX(Table1123457[[#This Row],[b (mm)]],AA103))*(MIN(Table1123457[[#This Row],[b (mm)]],AA103)^4/(12*MAX(Table1123457[[#This Row],[b (mm)]],AA103)^4)))*MAX(Table1123457[[#This Row],[b (mm)]],AA103)*MIN(Table1123457[[#This Row],[b (mm)]],AA103)^3</f>
        <v>13274757428.370747</v>
      </c>
      <c r="AH103" s="135">
        <f>Table1123457[[#This Row],[b (mm)]]*AA103^3/12</f>
        <v>80226171875</v>
      </c>
      <c r="AI103" s="111">
        <v>8100</v>
      </c>
      <c r="AK103" s="107"/>
    </row>
    <row r="104" spans="1:37" x14ac:dyDescent="0.25">
      <c r="A104" s="253" t="s">
        <v>157</v>
      </c>
      <c r="B104" s="253">
        <v>4</v>
      </c>
      <c r="C104" s="185">
        <v>103</v>
      </c>
      <c r="D104" s="185">
        <f>Table1123457[[#This Row],[a (mm)]]/Table1123457[[#This Row],[d (mm)]]</f>
        <v>2.8928571428571428</v>
      </c>
      <c r="E104" s="254">
        <v>420</v>
      </c>
      <c r="F104" s="137">
        <f>Table1123457[[#This Row],[d (mm)]]</f>
        <v>1400</v>
      </c>
      <c r="G104" s="135">
        <f t="shared" si="15"/>
        <v>1701000</v>
      </c>
      <c r="H104" s="135">
        <f t="shared" si="16"/>
        <v>8.0505501923703954E-7</v>
      </c>
      <c r="I104" s="135">
        <f>G104/(Table1123457[[#This Row],[b (mm)]]*Z104^2)</f>
        <v>2.8928571428571428E-3</v>
      </c>
      <c r="J104" s="135">
        <f t="shared" si="17"/>
        <v>0.63012339916566984</v>
      </c>
      <c r="K104" s="135">
        <f t="shared" si="18"/>
        <v>1.0076113443517442E-6</v>
      </c>
      <c r="L104" s="135">
        <f>E104/(Table1123457[[#This Row],[b (mm)]]*Z104)</f>
        <v>1E-3</v>
      </c>
      <c r="M104" s="135">
        <f>Table1123457[[#This Row],[M (KN.mm)]]/(Table1123457[[#This Row],[b (mm)]]*Table1123457[[#This Row],[d (mm)]])</f>
        <v>4.05</v>
      </c>
      <c r="N104" s="135">
        <f>Table1123457[[#This Row],[M (KN.mm)]]/(Table1123457[[#This Row],[b (mm)]]*Table1123457[[#This Row],[h (mm)]])</f>
        <v>3.8440677966101693</v>
      </c>
      <c r="O104" s="145">
        <f>Table1123457[[#This Row],[M (KN.mm)]]/(Table1123457[[#This Row],[b (mm)]]*Table1123457[[#This Row],[h (mm)]]*Table1123457[[#This Row],[L(mm)]])</f>
        <v>4.745762711864407E-4</v>
      </c>
      <c r="P104" s="145">
        <f>Table1123457[[#This Row],[M (KN.mm)]]/(Table1123457[[#This Row],[b (mm)]]*Table1123457[[#This Row],[d (mm)]]*Table1123457[[#This Row],[L(mm)]])</f>
        <v>5.0000000000000001E-4</v>
      </c>
      <c r="Q104" s="145">
        <f>Table1123457[[#This Row],[M (KN.mm)]]/(Table1123457[[#This Row],[b (mm)]]*Table1123457[[#This Row],[h (mm)]]*Table1123457[[#This Row],[L(mm)]]*Table1123457[[#This Row],[fc (Mpa)]])</f>
        <v>1.6888835273538813E-5</v>
      </c>
      <c r="R104" s="145">
        <f>Table1123457[[#This Row],[M (KN.mm)]]/(Table1123457[[#This Row],[b (mm)]]*Table1123457[[#This Row],[h (mm)]]*Table1123457[[#This Row],[L(mm)]]/2)</f>
        <v>9.491525423728814E-4</v>
      </c>
      <c r="S104" s="145">
        <f>Table1123457[[#This Row],[M (KN.mm)]]/(Table1123457[[#This Row],[a (mm)]]*Table1123457[[#This Row],[b (mm)]]*Table1123457[[#This Row],[h (mm)]]*Table1123457[[#This Row],[L(mm)]]/2)</f>
        <v>2.3435865243774848E-7</v>
      </c>
      <c r="T104" s="111">
        <f>G104/($AL$5*AH104*0.001*Table1123457[[#This Row],[pho (%)]])</f>
        <v>9.6994580630968621E-7</v>
      </c>
      <c r="U104" s="145">
        <f>Table1123457[[#This Row],[M (KN.mm)]]/(Table1123457[[#This Row],[b (mm)]]*Table1123457[[#This Row],[d (mm)]]*Table1123457[[#This Row],[pho (%)]])</f>
        <v>4.8795180722891569</v>
      </c>
      <c r="V104" s="145">
        <f>E104*224.8/(2*SQRT(Table1123457[[#This Row],[fc (Mpa)]]*145.037)*Table1123457[[#This Row],[b (mm)]]*Table1123457[[#This Row],[d (mm)]]*(1/25.4)^2)</f>
        <v>1.1359028272127669</v>
      </c>
      <c r="W104" s="145">
        <f>Table1123457[[#This Row],[M (KN.mm)]]/$G$105</f>
        <v>0.92715231788079466</v>
      </c>
      <c r="X104" s="111">
        <f t="shared" si="9"/>
        <v>1.1359028272127669</v>
      </c>
      <c r="Y104" s="111">
        <v>4050</v>
      </c>
      <c r="Z104" s="111">
        <v>1400</v>
      </c>
      <c r="AA104" s="111">
        <v>1475</v>
      </c>
      <c r="AB104" s="111">
        <v>300</v>
      </c>
      <c r="AC104" s="7">
        <v>28.1</v>
      </c>
      <c r="AD104" s="135">
        <f>Table1123457[[#This Row],[pho (%)]]/100*Table1123457[[#This Row],[b (mm)]]*Table1123457[[#This Row],[h (mm)]]</f>
        <v>3672.7500000000005</v>
      </c>
      <c r="AE104" s="135">
        <v>0.83</v>
      </c>
      <c r="AF104" s="160">
        <v>525</v>
      </c>
      <c r="AG104" s="135">
        <f>(1/3-0.21*(MIN(Table1123457[[#This Row],[b (mm)]],AA104)/MAX(Table1123457[[#This Row],[b (mm)]],AA104))*(MIN(Table1123457[[#This Row],[b (mm)]],AA104)^4/(12*MAX(Table1123457[[#This Row],[b (mm)]],AA104)^4)))*MAX(Table1123457[[#This Row],[b (mm)]],AA104)*MIN(Table1123457[[#This Row],[b (mm)]],AA104)^3</f>
        <v>13274757428.370747</v>
      </c>
      <c r="AH104" s="135">
        <f>Table1123457[[#This Row],[b (mm)]]*AA104^3/12</f>
        <v>80226171875</v>
      </c>
      <c r="AI104" s="111">
        <v>8100</v>
      </c>
      <c r="AK104" s="107"/>
    </row>
    <row r="105" spans="1:37" x14ac:dyDescent="0.25">
      <c r="A105" s="253" t="s">
        <v>157</v>
      </c>
      <c r="B105" s="253" t="s">
        <v>141</v>
      </c>
      <c r="C105" s="185">
        <v>104</v>
      </c>
      <c r="D105" s="185">
        <f>Table1123457[[#This Row],[a (mm)]]/Table1123457[[#This Row],[d (mm)]]</f>
        <v>2.8928571428571428</v>
      </c>
      <c r="E105" s="254">
        <v>453</v>
      </c>
      <c r="F105" s="137">
        <f>Table1123457[[#This Row],[d (mm)]]</f>
        <v>1400</v>
      </c>
      <c r="G105" s="135">
        <f t="shared" si="15"/>
        <v>1834650</v>
      </c>
      <c r="H105" s="135">
        <f t="shared" si="16"/>
        <v>8.6830934217709269E-7</v>
      </c>
      <c r="I105" s="135">
        <f>G105/(Table1123457[[#This Row],[b (mm)]]*Z105^2)</f>
        <v>3.12015306122449E-3</v>
      </c>
      <c r="J105" s="135">
        <f t="shared" si="17"/>
        <v>0.67963309481440104</v>
      </c>
      <c r="K105" s="135">
        <f t="shared" si="18"/>
        <v>1.0867808071222384E-6</v>
      </c>
      <c r="L105" s="135">
        <f>E105/(Table1123457[[#This Row],[b (mm)]]*Z105)</f>
        <v>1.0785714285714285E-3</v>
      </c>
      <c r="M105" s="135">
        <f>Table1123457[[#This Row],[M (KN.mm)]]/(Table1123457[[#This Row],[b (mm)]]*Table1123457[[#This Row],[d (mm)]])</f>
        <v>4.368214285714286</v>
      </c>
      <c r="N105" s="135">
        <f>Table1123457[[#This Row],[M (KN.mm)]]/(Table1123457[[#This Row],[b (mm)]]*Table1123457[[#This Row],[h (mm)]])</f>
        <v>4.146101694915254</v>
      </c>
      <c r="O105" s="145">
        <f>Table1123457[[#This Row],[M (KN.mm)]]/(Table1123457[[#This Row],[b (mm)]]*Table1123457[[#This Row],[h (mm)]]*Table1123457[[#This Row],[L(mm)]])</f>
        <v>5.1186440677966107E-4</v>
      </c>
      <c r="P105" s="145">
        <f>Table1123457[[#This Row],[M (KN.mm)]]/(Table1123457[[#This Row],[b (mm)]]*Table1123457[[#This Row],[d (mm)]]*Table1123457[[#This Row],[L(mm)]])</f>
        <v>5.3928571428571426E-4</v>
      </c>
      <c r="Q105" s="145">
        <f>Table1123457[[#This Row],[M (KN.mm)]]/(Table1123457[[#This Row],[b (mm)]]*Table1123457[[#This Row],[h (mm)]]*Table1123457[[#This Row],[L(mm)]]*Table1123457[[#This Row],[fc (Mpa)]])</f>
        <v>1.8215815187888293E-5</v>
      </c>
      <c r="R105" s="145">
        <f>Table1123457[[#This Row],[M (KN.mm)]]/(Table1123457[[#This Row],[b (mm)]]*Table1123457[[#This Row],[h (mm)]]*Table1123457[[#This Row],[L(mm)]]/2)</f>
        <v>1.0237288135593221E-3</v>
      </c>
      <c r="S105" s="145">
        <f>Table1123457[[#This Row],[M (KN.mm)]]/(Table1123457[[#This Row],[a (mm)]]*Table1123457[[#This Row],[b (mm)]]*Table1123457[[#This Row],[h (mm)]]*Table1123457[[#This Row],[L(mm)]]/2)</f>
        <v>2.5277254655785731E-7</v>
      </c>
      <c r="T105" s="111">
        <f>G105/($AL$5*AH105*0.001*Table1123457[[#This Row],[pho (%)]])</f>
        <v>1.0461558339483044E-6</v>
      </c>
      <c r="U105" s="145">
        <f>Table1123457[[#This Row],[M (KN.mm)]]/(Table1123457[[#This Row],[b (mm)]]*Table1123457[[#This Row],[d (mm)]]*Table1123457[[#This Row],[pho (%)]])</f>
        <v>5.2629087779690193</v>
      </c>
      <c r="V105" s="145">
        <f>E105*224.8/(2*SQRT(Table1123457[[#This Row],[fc (Mpa)]]*145.037)*Table1123457[[#This Row],[b (mm)]]*Table1123457[[#This Row],[d (mm)]]*(1/25.4)^2)</f>
        <v>1.2251523350651987</v>
      </c>
      <c r="W105" s="145">
        <f>Table1123457[[#This Row],[M (KN.mm)]]/$G$105</f>
        <v>1</v>
      </c>
      <c r="X105" s="111">
        <f t="shared" si="9"/>
        <v>1.2251523350651987</v>
      </c>
      <c r="Y105" s="111">
        <v>4050</v>
      </c>
      <c r="Z105" s="111">
        <v>1400</v>
      </c>
      <c r="AA105" s="111">
        <v>1475</v>
      </c>
      <c r="AB105" s="111">
        <v>300</v>
      </c>
      <c r="AC105" s="7">
        <v>28.1</v>
      </c>
      <c r="AD105" s="135">
        <f>Table1123457[[#This Row],[pho (%)]]/100*Table1123457[[#This Row],[b (mm)]]*Table1123457[[#This Row],[h (mm)]]</f>
        <v>3672.7500000000005</v>
      </c>
      <c r="AE105" s="135">
        <v>0.83</v>
      </c>
      <c r="AF105" s="160">
        <v>525</v>
      </c>
      <c r="AG105" s="135">
        <f>(1/3-0.21*(MIN(Table1123457[[#This Row],[b (mm)]],AA105)/MAX(Table1123457[[#This Row],[b (mm)]],AA105))*(MIN(Table1123457[[#This Row],[b (mm)]],AA105)^4/(12*MAX(Table1123457[[#This Row],[b (mm)]],AA105)^4)))*MAX(Table1123457[[#This Row],[b (mm)]],AA105)*MIN(Table1123457[[#This Row],[b (mm)]],AA105)^3</f>
        <v>13274757428.370747</v>
      </c>
      <c r="AH105" s="135">
        <f>Table1123457[[#This Row],[b (mm)]]*AA105^3/12</f>
        <v>80226171875</v>
      </c>
      <c r="AI105" s="111">
        <v>8100</v>
      </c>
      <c r="AK105" s="107"/>
    </row>
    <row r="106" spans="1:37" x14ac:dyDescent="0.25">
      <c r="A106" s="255" t="s">
        <v>158</v>
      </c>
      <c r="B106" s="255">
        <v>1</v>
      </c>
      <c r="C106" s="185">
        <v>105</v>
      </c>
      <c r="D106" s="185">
        <f>Table1123457[[#This Row],[a (mm)]]/Table1123457[[#This Row],[d (mm)]]</f>
        <v>2.8928571428571428</v>
      </c>
      <c r="E106" s="256">
        <v>125</v>
      </c>
      <c r="F106" s="137">
        <f>Table1123457[[#This Row],[d (mm)]]</f>
        <v>1400</v>
      </c>
      <c r="G106" s="135">
        <f t="shared" si="15"/>
        <v>506250</v>
      </c>
      <c r="H106" s="135">
        <f t="shared" si="16"/>
        <v>2.3959970810626177E-7</v>
      </c>
      <c r="I106" s="135">
        <f>G106/(Table1123457[[#This Row],[b (mm)]]*Z106^2)</f>
        <v>8.6096938775510206E-4</v>
      </c>
      <c r="J106" s="135">
        <f t="shared" si="17"/>
        <v>0.18753672594216364</v>
      </c>
      <c r="K106" s="135">
        <f t="shared" si="18"/>
        <v>2.9988432867611434E-7</v>
      </c>
      <c r="L106" s="135">
        <f>E106/(Table1123457[[#This Row],[b (mm)]]*Z106)</f>
        <v>2.9761904761904765E-4</v>
      </c>
      <c r="M106" s="135">
        <f>Table1123457[[#This Row],[M (KN.mm)]]/(Table1123457[[#This Row],[b (mm)]]*Table1123457[[#This Row],[d (mm)]])</f>
        <v>1.2053571428571428</v>
      </c>
      <c r="N106" s="135">
        <f>Table1123457[[#This Row],[M (KN.mm)]]/(Table1123457[[#This Row],[b (mm)]]*Table1123457[[#This Row],[h (mm)]])</f>
        <v>1.1440677966101696</v>
      </c>
      <c r="O106" s="145">
        <f>Table1123457[[#This Row],[M (KN.mm)]]/(Table1123457[[#This Row],[b (mm)]]*Table1123457[[#This Row],[h (mm)]]*Table1123457[[#This Row],[L(mm)]])</f>
        <v>1.4124293785310735E-4</v>
      </c>
      <c r="P106" s="145">
        <f>Table1123457[[#This Row],[M (KN.mm)]]/(Table1123457[[#This Row],[b (mm)]]*Table1123457[[#This Row],[d (mm)]]*Table1123457[[#This Row],[L(mm)]])</f>
        <v>1.4880952380952382E-4</v>
      </c>
      <c r="Q106" s="145">
        <f>Table1123457[[#This Row],[M (KN.mm)]]/(Table1123457[[#This Row],[b (mm)]]*Table1123457[[#This Row],[h (mm)]]*Table1123457[[#This Row],[L(mm)]]*Table1123457[[#This Row],[fc (Mpa)]])</f>
        <v>4.9558925562493808E-6</v>
      </c>
      <c r="R106" s="145">
        <f>Table1123457[[#This Row],[M (KN.mm)]]/(Table1123457[[#This Row],[b (mm)]]*Table1123457[[#This Row],[h (mm)]]*Table1123457[[#This Row],[L(mm)]]/2)</f>
        <v>2.824858757062147E-4</v>
      </c>
      <c r="S106" s="145">
        <f>Table1123457[[#This Row],[M (KN.mm)]]/(Table1123457[[#This Row],[a (mm)]]*Table1123457[[#This Row],[b (mm)]]*Table1123457[[#This Row],[h (mm)]]*Table1123457[[#This Row],[L(mm)]]/2)</f>
        <v>6.9749598939806094E-8</v>
      </c>
      <c r="T106" s="111">
        <f>G106/($AL$5*AH106*0.001*Table1123457[[#This Row],[pho (%)]])</f>
        <v>2.8867434711597808E-7</v>
      </c>
      <c r="U106" s="145">
        <f>Table1123457[[#This Row],[M (KN.mm)]]/(Table1123457[[#This Row],[b (mm)]]*Table1123457[[#This Row],[d (mm)]]*Table1123457[[#This Row],[pho (%)]])</f>
        <v>1.4522375215146299</v>
      </c>
      <c r="V106" s="145">
        <f>E106*224.8/(2*SQRT(Table1123457[[#This Row],[fc (Mpa)]]*145.037)*Table1123457[[#This Row],[b (mm)]]*Table1123457[[#This Row],[d (mm)]]*(1/25.4)^2)</f>
        <v>0.33568553928483658</v>
      </c>
      <c r="W106" s="145">
        <f>Table1123457[[#This Row],[M (KN.mm)]]/$G$112</f>
        <v>0.22935779816513763</v>
      </c>
      <c r="X106" s="111">
        <f t="shared" si="9"/>
        <v>0.33568553928483658</v>
      </c>
      <c r="Y106" s="111">
        <v>4050</v>
      </c>
      <c r="Z106" s="111">
        <v>1400</v>
      </c>
      <c r="AA106" s="111">
        <v>1475</v>
      </c>
      <c r="AB106" s="111">
        <v>300</v>
      </c>
      <c r="AC106" s="7">
        <v>28.5</v>
      </c>
      <c r="AD106" s="135">
        <f>Table1123457[[#This Row],[pho (%)]]/100*Table1123457[[#This Row],[b (mm)]]*Table1123457[[#This Row],[h (mm)]]</f>
        <v>3672.7500000000005</v>
      </c>
      <c r="AE106" s="135">
        <v>0.83</v>
      </c>
      <c r="AF106" s="160">
        <v>525</v>
      </c>
      <c r="AG106" s="135">
        <f>(1/3-0.21*(MIN(Table1123457[[#This Row],[b (mm)]],AA106)/MAX(Table1123457[[#This Row],[b (mm)]],AA106))*(MIN(Table1123457[[#This Row],[b (mm)]],AA106)^4/(12*MAX(Table1123457[[#This Row],[b (mm)]],AA106)^4)))*MAX(Table1123457[[#This Row],[b (mm)]],AA106)*MIN(Table1123457[[#This Row],[b (mm)]],AA106)^3</f>
        <v>13274757428.370747</v>
      </c>
      <c r="AH106" s="135">
        <f>Table1123457[[#This Row],[b (mm)]]*AA106^3/12</f>
        <v>80226171875</v>
      </c>
      <c r="AI106" s="111">
        <v>8100</v>
      </c>
      <c r="AK106" s="107"/>
    </row>
    <row r="107" spans="1:37" x14ac:dyDescent="0.25">
      <c r="A107" s="255" t="s">
        <v>158</v>
      </c>
      <c r="B107" s="255">
        <v>2</v>
      </c>
      <c r="C107" s="185">
        <v>106</v>
      </c>
      <c r="D107" s="185">
        <f>Table1123457[[#This Row],[a (mm)]]/Table1123457[[#This Row],[d (mm)]]</f>
        <v>2.8928571428571428</v>
      </c>
      <c r="E107" s="256">
        <v>225</v>
      </c>
      <c r="F107" s="137">
        <f>Table1123457[[#This Row],[d (mm)]]</f>
        <v>1400</v>
      </c>
      <c r="G107" s="135">
        <f t="shared" si="15"/>
        <v>911250</v>
      </c>
      <c r="H107" s="135">
        <f t="shared" si="16"/>
        <v>4.3127947459127122E-7</v>
      </c>
      <c r="I107" s="135">
        <f>G107/(Table1123457[[#This Row],[b (mm)]]*Z107^2)</f>
        <v>1.5497448979591836E-3</v>
      </c>
      <c r="J107" s="135">
        <f t="shared" si="17"/>
        <v>0.33756610669589454</v>
      </c>
      <c r="K107" s="135">
        <f t="shared" si="18"/>
        <v>5.3979179161700577E-7</v>
      </c>
      <c r="L107" s="135">
        <f>E107/(Table1123457[[#This Row],[b (mm)]]*Z107)</f>
        <v>5.3571428571428574E-4</v>
      </c>
      <c r="M107" s="135">
        <f>Table1123457[[#This Row],[M (KN.mm)]]/(Table1123457[[#This Row],[b (mm)]]*Table1123457[[#This Row],[d (mm)]])</f>
        <v>2.1696428571428572</v>
      </c>
      <c r="N107" s="135">
        <f>Table1123457[[#This Row],[M (KN.mm)]]/(Table1123457[[#This Row],[b (mm)]]*Table1123457[[#This Row],[h (mm)]])</f>
        <v>2.0593220338983049</v>
      </c>
      <c r="O107" s="145">
        <f>Table1123457[[#This Row],[M (KN.mm)]]/(Table1123457[[#This Row],[b (mm)]]*Table1123457[[#This Row],[h (mm)]]*Table1123457[[#This Row],[L(mm)]])</f>
        <v>2.5423728813559322E-4</v>
      </c>
      <c r="P107" s="145">
        <f>Table1123457[[#This Row],[M (KN.mm)]]/(Table1123457[[#This Row],[b (mm)]]*Table1123457[[#This Row],[d (mm)]]*Table1123457[[#This Row],[L(mm)]])</f>
        <v>2.6785714285714287E-4</v>
      </c>
      <c r="Q107" s="145">
        <f>Table1123457[[#This Row],[M (KN.mm)]]/(Table1123457[[#This Row],[b (mm)]]*Table1123457[[#This Row],[h (mm)]]*Table1123457[[#This Row],[L(mm)]]*Table1123457[[#This Row],[fc (Mpa)]])</f>
        <v>8.9206066012488857E-6</v>
      </c>
      <c r="R107" s="145">
        <f>Table1123457[[#This Row],[M (KN.mm)]]/(Table1123457[[#This Row],[b (mm)]]*Table1123457[[#This Row],[h (mm)]]*Table1123457[[#This Row],[L(mm)]]/2)</f>
        <v>5.0847457627118645E-4</v>
      </c>
      <c r="S107" s="145">
        <f>Table1123457[[#This Row],[M (KN.mm)]]/(Table1123457[[#This Row],[a (mm)]]*Table1123457[[#This Row],[b (mm)]]*Table1123457[[#This Row],[h (mm)]]*Table1123457[[#This Row],[L(mm)]]/2)</f>
        <v>1.2554927809165096E-7</v>
      </c>
      <c r="T107" s="111">
        <f>G107/($AL$5*AH107*0.001*Table1123457[[#This Row],[pho (%)]])</f>
        <v>5.1961382480876054E-7</v>
      </c>
      <c r="U107" s="145">
        <f>Table1123457[[#This Row],[M (KN.mm)]]/(Table1123457[[#This Row],[b (mm)]]*Table1123457[[#This Row],[d (mm)]]*Table1123457[[#This Row],[pho (%)]])</f>
        <v>2.6140275387263339</v>
      </c>
      <c r="V107" s="145">
        <f>E107*224.8/(2*SQRT(Table1123457[[#This Row],[fc (Mpa)]]*145.037)*Table1123457[[#This Row],[b (mm)]]*Table1123457[[#This Row],[d (mm)]]*(1/25.4)^2)</f>
        <v>0.6042339707127059</v>
      </c>
      <c r="W107" s="145">
        <f>Table1123457[[#This Row],[M (KN.mm)]]/$G$112</f>
        <v>0.41284403669724773</v>
      </c>
      <c r="X107" s="111">
        <f t="shared" si="9"/>
        <v>0.6042339707127059</v>
      </c>
      <c r="Y107" s="111">
        <v>4050</v>
      </c>
      <c r="Z107" s="111">
        <v>1400</v>
      </c>
      <c r="AA107" s="111">
        <v>1475</v>
      </c>
      <c r="AB107" s="111">
        <v>300</v>
      </c>
      <c r="AC107" s="7">
        <v>28.5</v>
      </c>
      <c r="AD107" s="135">
        <f>Table1123457[[#This Row],[pho (%)]]/100*Table1123457[[#This Row],[b (mm)]]*Table1123457[[#This Row],[h (mm)]]</f>
        <v>3672.7500000000005</v>
      </c>
      <c r="AE107" s="135">
        <v>0.83</v>
      </c>
      <c r="AF107" s="160">
        <v>525</v>
      </c>
      <c r="AG107" s="135">
        <f>(1/3-0.21*(MIN(Table1123457[[#This Row],[b (mm)]],AA107)/MAX(Table1123457[[#This Row],[b (mm)]],AA107))*(MIN(Table1123457[[#This Row],[b (mm)]],AA107)^4/(12*MAX(Table1123457[[#This Row],[b (mm)]],AA107)^4)))*MAX(Table1123457[[#This Row],[b (mm)]],AA107)*MIN(Table1123457[[#This Row],[b (mm)]],AA107)^3</f>
        <v>13274757428.370747</v>
      </c>
      <c r="AH107" s="135">
        <f>Table1123457[[#This Row],[b (mm)]]*AA107^3/12</f>
        <v>80226171875</v>
      </c>
      <c r="AI107" s="111">
        <v>8100</v>
      </c>
      <c r="AK107" s="107"/>
    </row>
    <row r="108" spans="1:37" x14ac:dyDescent="0.25">
      <c r="A108" s="255" t="s">
        <v>158</v>
      </c>
      <c r="B108" s="255">
        <v>3</v>
      </c>
      <c r="C108" s="185">
        <v>107</v>
      </c>
      <c r="D108" s="185">
        <f>Table1123457[[#This Row],[a (mm)]]/Table1123457[[#This Row],[d (mm)]]</f>
        <v>2.8928571428571428</v>
      </c>
      <c r="E108" s="256">
        <v>350</v>
      </c>
      <c r="F108" s="137">
        <f>Table1123457[[#This Row],[d (mm)]]</f>
        <v>1400</v>
      </c>
      <c r="G108" s="135">
        <f t="shared" si="15"/>
        <v>1417500</v>
      </c>
      <c r="H108" s="135">
        <f t="shared" si="16"/>
        <v>6.7087918269753299E-7</v>
      </c>
      <c r="I108" s="135">
        <f>G108/(Table1123457[[#This Row],[b (mm)]]*Z108^2)</f>
        <v>2.4107142857142856E-3</v>
      </c>
      <c r="J108" s="135">
        <f t="shared" si="17"/>
        <v>0.52510283263805824</v>
      </c>
      <c r="K108" s="135">
        <f t="shared" si="18"/>
        <v>8.3967612029312006E-7</v>
      </c>
      <c r="L108" s="135">
        <f>E108/(Table1123457[[#This Row],[b (mm)]]*Z108)</f>
        <v>8.3333333333333339E-4</v>
      </c>
      <c r="M108" s="135">
        <f>Table1123457[[#This Row],[M (KN.mm)]]/(Table1123457[[#This Row],[b (mm)]]*Table1123457[[#This Row],[d (mm)]])</f>
        <v>3.375</v>
      </c>
      <c r="N108" s="135">
        <f>Table1123457[[#This Row],[M (KN.mm)]]/(Table1123457[[#This Row],[b (mm)]]*Table1123457[[#This Row],[h (mm)]])</f>
        <v>3.2033898305084745</v>
      </c>
      <c r="O108" s="145">
        <f>Table1123457[[#This Row],[M (KN.mm)]]/(Table1123457[[#This Row],[b (mm)]]*Table1123457[[#This Row],[h (mm)]]*Table1123457[[#This Row],[L(mm)]])</f>
        <v>3.9548022598870055E-4</v>
      </c>
      <c r="P108" s="145">
        <f>Table1123457[[#This Row],[M (KN.mm)]]/(Table1123457[[#This Row],[b (mm)]]*Table1123457[[#This Row],[d (mm)]]*Table1123457[[#This Row],[L(mm)]])</f>
        <v>4.1666666666666669E-4</v>
      </c>
      <c r="Q108" s="145">
        <f>Table1123457[[#This Row],[M (KN.mm)]]/(Table1123457[[#This Row],[b (mm)]]*Table1123457[[#This Row],[h (mm)]]*Table1123457[[#This Row],[L(mm)]]*Table1123457[[#This Row],[fc (Mpa)]])</f>
        <v>1.3876499157498266E-5</v>
      </c>
      <c r="R108" s="145">
        <f>Table1123457[[#This Row],[M (KN.mm)]]/(Table1123457[[#This Row],[b (mm)]]*Table1123457[[#This Row],[h (mm)]]*Table1123457[[#This Row],[L(mm)]]/2)</f>
        <v>7.9096045197740109E-4</v>
      </c>
      <c r="S108" s="145">
        <f>Table1123457[[#This Row],[M (KN.mm)]]/(Table1123457[[#This Row],[a (mm)]]*Table1123457[[#This Row],[b (mm)]]*Table1123457[[#This Row],[h (mm)]]*Table1123457[[#This Row],[L(mm)]]/2)</f>
        <v>1.9529887703145707E-7</v>
      </c>
      <c r="T108" s="111">
        <f>G108/($AL$5*AH108*0.001*Table1123457[[#This Row],[pho (%)]])</f>
        <v>8.0828817192473861E-7</v>
      </c>
      <c r="U108" s="145">
        <f>Table1123457[[#This Row],[M (KN.mm)]]/(Table1123457[[#This Row],[b (mm)]]*Table1123457[[#This Row],[d (mm)]]*Table1123457[[#This Row],[pho (%)]])</f>
        <v>4.0662650602409638</v>
      </c>
      <c r="V108" s="145">
        <f>E108*224.8/(2*SQRT(Table1123457[[#This Row],[fc (Mpa)]]*145.037)*Table1123457[[#This Row],[b (mm)]]*Table1123457[[#This Row],[d (mm)]]*(1/25.4)^2)</f>
        <v>0.93991950999754248</v>
      </c>
      <c r="W108" s="145">
        <f>Table1123457[[#This Row],[M (KN.mm)]]/$G$112</f>
        <v>0.64220183486238536</v>
      </c>
      <c r="X108" s="111">
        <f t="shared" si="9"/>
        <v>0.93991950999754248</v>
      </c>
      <c r="Y108" s="111">
        <v>4050</v>
      </c>
      <c r="Z108" s="111">
        <v>1400</v>
      </c>
      <c r="AA108" s="111">
        <v>1475</v>
      </c>
      <c r="AB108" s="111">
        <v>300</v>
      </c>
      <c r="AC108" s="7">
        <v>28.5</v>
      </c>
      <c r="AD108" s="135">
        <f>Table1123457[[#This Row],[pho (%)]]/100*Table1123457[[#This Row],[b (mm)]]*Table1123457[[#This Row],[h (mm)]]</f>
        <v>3672.7500000000005</v>
      </c>
      <c r="AE108" s="135">
        <v>0.83</v>
      </c>
      <c r="AF108" s="160">
        <v>525</v>
      </c>
      <c r="AG108" s="135">
        <f>(1/3-0.21*(MIN(Table1123457[[#This Row],[b (mm)]],AA108)/MAX(Table1123457[[#This Row],[b (mm)]],AA108))*(MIN(Table1123457[[#This Row],[b (mm)]],AA108)^4/(12*MAX(Table1123457[[#This Row],[b (mm)]],AA108)^4)))*MAX(Table1123457[[#This Row],[b (mm)]],AA108)*MIN(Table1123457[[#This Row],[b (mm)]],AA108)^3</f>
        <v>13274757428.370747</v>
      </c>
      <c r="AH108" s="135">
        <f>Table1123457[[#This Row],[b (mm)]]*AA108^3/12</f>
        <v>80226171875</v>
      </c>
      <c r="AI108" s="111">
        <v>8100</v>
      </c>
      <c r="AK108" s="107"/>
    </row>
    <row r="109" spans="1:37" x14ac:dyDescent="0.25">
      <c r="A109" s="255" t="s">
        <v>158</v>
      </c>
      <c r="B109" s="255">
        <v>4</v>
      </c>
      <c r="C109" s="185">
        <v>108</v>
      </c>
      <c r="D109" s="185">
        <f>Table1123457[[#This Row],[a (mm)]]/Table1123457[[#This Row],[d (mm)]]</f>
        <v>2.8928571428571428</v>
      </c>
      <c r="E109" s="256">
        <v>420</v>
      </c>
      <c r="F109" s="137">
        <f>Table1123457[[#This Row],[d (mm)]]</f>
        <v>1400</v>
      </c>
      <c r="G109" s="135">
        <f t="shared" si="15"/>
        <v>1701000</v>
      </c>
      <c r="H109" s="135">
        <f t="shared" si="16"/>
        <v>8.0505501923703954E-7</v>
      </c>
      <c r="I109" s="135">
        <f>G109/(Table1123457[[#This Row],[b (mm)]]*Z109^2)</f>
        <v>2.8928571428571428E-3</v>
      </c>
      <c r="J109" s="135">
        <f t="shared" si="17"/>
        <v>0.63012339916566984</v>
      </c>
      <c r="K109" s="135">
        <f t="shared" si="18"/>
        <v>1.0076113443517442E-6</v>
      </c>
      <c r="L109" s="135">
        <f>E109/(Table1123457[[#This Row],[b (mm)]]*Z109)</f>
        <v>1E-3</v>
      </c>
      <c r="M109" s="135">
        <f>Table1123457[[#This Row],[M (KN.mm)]]/(Table1123457[[#This Row],[b (mm)]]*Table1123457[[#This Row],[d (mm)]])</f>
        <v>4.05</v>
      </c>
      <c r="N109" s="135">
        <f>Table1123457[[#This Row],[M (KN.mm)]]/(Table1123457[[#This Row],[b (mm)]]*Table1123457[[#This Row],[h (mm)]])</f>
        <v>3.8440677966101693</v>
      </c>
      <c r="O109" s="145">
        <f>Table1123457[[#This Row],[M (KN.mm)]]/(Table1123457[[#This Row],[b (mm)]]*Table1123457[[#This Row],[h (mm)]]*Table1123457[[#This Row],[L(mm)]])</f>
        <v>4.745762711864407E-4</v>
      </c>
      <c r="P109" s="145">
        <f>Table1123457[[#This Row],[M (KN.mm)]]/(Table1123457[[#This Row],[b (mm)]]*Table1123457[[#This Row],[d (mm)]]*Table1123457[[#This Row],[L(mm)]])</f>
        <v>5.0000000000000001E-4</v>
      </c>
      <c r="Q109" s="145">
        <f>Table1123457[[#This Row],[M (KN.mm)]]/(Table1123457[[#This Row],[b (mm)]]*Table1123457[[#This Row],[h (mm)]]*Table1123457[[#This Row],[L(mm)]]*Table1123457[[#This Row],[fc (Mpa)]])</f>
        <v>1.6651798988997919E-5</v>
      </c>
      <c r="R109" s="145">
        <f>Table1123457[[#This Row],[M (KN.mm)]]/(Table1123457[[#This Row],[b (mm)]]*Table1123457[[#This Row],[h (mm)]]*Table1123457[[#This Row],[L(mm)]]/2)</f>
        <v>9.491525423728814E-4</v>
      </c>
      <c r="S109" s="145">
        <f>Table1123457[[#This Row],[M (KN.mm)]]/(Table1123457[[#This Row],[a (mm)]]*Table1123457[[#This Row],[b (mm)]]*Table1123457[[#This Row],[h (mm)]]*Table1123457[[#This Row],[L(mm)]]/2)</f>
        <v>2.3435865243774848E-7</v>
      </c>
      <c r="T109" s="111">
        <f>G109/($AL$5*AH109*0.001*Table1123457[[#This Row],[pho (%)]])</f>
        <v>9.6994580630968621E-7</v>
      </c>
      <c r="U109" s="145">
        <f>Table1123457[[#This Row],[M (KN.mm)]]/(Table1123457[[#This Row],[b (mm)]]*Table1123457[[#This Row],[d (mm)]]*Table1123457[[#This Row],[pho (%)]])</f>
        <v>4.8795180722891569</v>
      </c>
      <c r="V109" s="145">
        <f>E109*224.8/(2*SQRT(Table1123457[[#This Row],[fc (Mpa)]]*145.037)*Table1123457[[#This Row],[b (mm)]]*Table1123457[[#This Row],[d (mm)]]*(1/25.4)^2)</f>
        <v>1.127903411997051</v>
      </c>
      <c r="W109" s="145">
        <f>Table1123457[[#This Row],[M (KN.mm)]]/$G$112</f>
        <v>0.77064220183486243</v>
      </c>
      <c r="X109" s="111">
        <f t="shared" si="9"/>
        <v>1.127903411997051</v>
      </c>
      <c r="Y109" s="111">
        <v>4050</v>
      </c>
      <c r="Z109" s="111">
        <v>1400</v>
      </c>
      <c r="AA109" s="111">
        <v>1475</v>
      </c>
      <c r="AB109" s="111">
        <v>300</v>
      </c>
      <c r="AC109" s="7">
        <v>28.5</v>
      </c>
      <c r="AD109" s="135">
        <f>Table1123457[[#This Row],[pho (%)]]/100*Table1123457[[#This Row],[b (mm)]]*Table1123457[[#This Row],[h (mm)]]</f>
        <v>3672.7500000000005</v>
      </c>
      <c r="AE109" s="135">
        <v>0.83</v>
      </c>
      <c r="AF109" s="160">
        <v>525</v>
      </c>
      <c r="AG109" s="135">
        <f>(1/3-0.21*(MIN(Table1123457[[#This Row],[b (mm)]],AA109)/MAX(Table1123457[[#This Row],[b (mm)]],AA109))*(MIN(Table1123457[[#This Row],[b (mm)]],AA109)^4/(12*MAX(Table1123457[[#This Row],[b (mm)]],AA109)^4)))*MAX(Table1123457[[#This Row],[b (mm)]],AA109)*MIN(Table1123457[[#This Row],[b (mm)]],AA109)^3</f>
        <v>13274757428.370747</v>
      </c>
      <c r="AH109" s="135">
        <f>Table1123457[[#This Row],[b (mm)]]*AA109^3/12</f>
        <v>80226171875</v>
      </c>
      <c r="AI109" s="111">
        <v>8100</v>
      </c>
      <c r="AK109" s="107"/>
    </row>
    <row r="110" spans="1:37" x14ac:dyDescent="0.25">
      <c r="A110" s="255" t="s">
        <v>158</v>
      </c>
      <c r="B110" s="255">
        <v>5</v>
      </c>
      <c r="C110" s="185">
        <v>109</v>
      </c>
      <c r="D110" s="185">
        <f>Table1123457[[#This Row],[a (mm)]]/Table1123457[[#This Row],[d (mm)]]</f>
        <v>2.8928571428571428</v>
      </c>
      <c r="E110" s="256">
        <v>450</v>
      </c>
      <c r="F110" s="137">
        <f>Table1123457[[#This Row],[d (mm)]]</f>
        <v>1400</v>
      </c>
      <c r="G110" s="135">
        <f t="shared" si="15"/>
        <v>1822500</v>
      </c>
      <c r="H110" s="135">
        <f t="shared" si="16"/>
        <v>8.6255894918254244E-7</v>
      </c>
      <c r="I110" s="135">
        <f>G110/(Table1123457[[#This Row],[b (mm)]]*Z110^2)</f>
        <v>3.0994897959183672E-3</v>
      </c>
      <c r="J110" s="135">
        <f t="shared" si="17"/>
        <v>0.67513221339178908</v>
      </c>
      <c r="K110" s="135">
        <f t="shared" si="18"/>
        <v>1.0795835832340115E-6</v>
      </c>
      <c r="L110" s="135">
        <f>E110/(Table1123457[[#This Row],[b (mm)]]*Z110)</f>
        <v>1.0714285714285715E-3</v>
      </c>
      <c r="M110" s="135">
        <f>Table1123457[[#This Row],[M (KN.mm)]]/(Table1123457[[#This Row],[b (mm)]]*Table1123457[[#This Row],[d (mm)]])</f>
        <v>4.3392857142857144</v>
      </c>
      <c r="N110" s="135">
        <f>Table1123457[[#This Row],[M (KN.mm)]]/(Table1123457[[#This Row],[b (mm)]]*Table1123457[[#This Row],[h (mm)]])</f>
        <v>4.1186440677966099</v>
      </c>
      <c r="O110" s="145">
        <f>Table1123457[[#This Row],[M (KN.mm)]]/(Table1123457[[#This Row],[b (mm)]]*Table1123457[[#This Row],[h (mm)]]*Table1123457[[#This Row],[L(mm)]])</f>
        <v>5.0847457627118645E-4</v>
      </c>
      <c r="P110" s="145">
        <f>Table1123457[[#This Row],[M (KN.mm)]]/(Table1123457[[#This Row],[b (mm)]]*Table1123457[[#This Row],[d (mm)]]*Table1123457[[#This Row],[L(mm)]])</f>
        <v>5.3571428571428574E-4</v>
      </c>
      <c r="Q110" s="145">
        <f>Table1123457[[#This Row],[M (KN.mm)]]/(Table1123457[[#This Row],[b (mm)]]*Table1123457[[#This Row],[h (mm)]]*Table1123457[[#This Row],[L(mm)]]*Table1123457[[#This Row],[fc (Mpa)]])</f>
        <v>1.7841213202497771E-5</v>
      </c>
      <c r="R110" s="145">
        <f>Table1123457[[#This Row],[M (KN.mm)]]/(Table1123457[[#This Row],[b (mm)]]*Table1123457[[#This Row],[h (mm)]]*Table1123457[[#This Row],[L(mm)]]/2)</f>
        <v>1.0169491525423729E-3</v>
      </c>
      <c r="S110" s="145">
        <f>Table1123457[[#This Row],[M (KN.mm)]]/(Table1123457[[#This Row],[a (mm)]]*Table1123457[[#This Row],[b (mm)]]*Table1123457[[#This Row],[h (mm)]]*Table1123457[[#This Row],[L(mm)]]/2)</f>
        <v>2.5109855618330192E-7</v>
      </c>
      <c r="T110" s="111">
        <f>G110/($AL$5*AH110*0.001*Table1123457[[#This Row],[pho (%)]])</f>
        <v>1.0392276496175211E-6</v>
      </c>
      <c r="U110" s="145">
        <f>Table1123457[[#This Row],[M (KN.mm)]]/(Table1123457[[#This Row],[b (mm)]]*Table1123457[[#This Row],[d (mm)]]*Table1123457[[#This Row],[pho (%)]])</f>
        <v>5.2280550774526677</v>
      </c>
      <c r="V110" s="145">
        <f>E110*224.8/(2*SQRT(Table1123457[[#This Row],[fc (Mpa)]]*145.037)*Table1123457[[#This Row],[b (mm)]]*Table1123457[[#This Row],[d (mm)]]*(1/25.4)^2)</f>
        <v>1.2084679414254118</v>
      </c>
      <c r="W110" s="145">
        <f>Table1123457[[#This Row],[M (KN.mm)]]/$G$112</f>
        <v>0.82568807339449546</v>
      </c>
      <c r="X110" s="111">
        <f t="shared" si="9"/>
        <v>1.2084679414254118</v>
      </c>
      <c r="Y110" s="111">
        <v>4050</v>
      </c>
      <c r="Z110" s="111">
        <v>1400</v>
      </c>
      <c r="AA110" s="111">
        <v>1475</v>
      </c>
      <c r="AB110" s="111">
        <v>300</v>
      </c>
      <c r="AC110" s="7">
        <v>28.5</v>
      </c>
      <c r="AD110" s="135">
        <f>Table1123457[[#This Row],[pho (%)]]/100*Table1123457[[#This Row],[b (mm)]]*Table1123457[[#This Row],[h (mm)]]</f>
        <v>3672.7500000000005</v>
      </c>
      <c r="AE110" s="135">
        <v>0.83</v>
      </c>
      <c r="AF110" s="160">
        <v>525</v>
      </c>
      <c r="AG110" s="135">
        <f>(1/3-0.21*(MIN(Table1123457[[#This Row],[b (mm)]],AA110)/MAX(Table1123457[[#This Row],[b (mm)]],AA110))*(MIN(Table1123457[[#This Row],[b (mm)]],AA110)^4/(12*MAX(Table1123457[[#This Row],[b (mm)]],AA110)^4)))*MAX(Table1123457[[#This Row],[b (mm)]],AA110)*MIN(Table1123457[[#This Row],[b (mm)]],AA110)^3</f>
        <v>13274757428.370747</v>
      </c>
      <c r="AH110" s="135">
        <f>Table1123457[[#This Row],[b (mm)]]*AA110^3/12</f>
        <v>80226171875</v>
      </c>
      <c r="AI110" s="111">
        <v>8100</v>
      </c>
      <c r="AK110" s="107"/>
    </row>
    <row r="111" spans="1:37" x14ac:dyDescent="0.25">
      <c r="A111" s="255" t="s">
        <v>158</v>
      </c>
      <c r="B111" s="255">
        <v>6</v>
      </c>
      <c r="C111" s="185">
        <v>110</v>
      </c>
      <c r="D111" s="185">
        <f>Table1123457[[#This Row],[a (mm)]]/Table1123457[[#This Row],[d (mm)]]</f>
        <v>2.8928571428571428</v>
      </c>
      <c r="E111" s="256">
        <v>500</v>
      </c>
      <c r="F111" s="137">
        <f>Table1123457[[#This Row],[d (mm)]]</f>
        <v>1400</v>
      </c>
      <c r="G111" s="135">
        <f t="shared" si="15"/>
        <v>2025000</v>
      </c>
      <c r="H111" s="135">
        <f t="shared" si="16"/>
        <v>9.5839883242504707E-7</v>
      </c>
      <c r="I111" s="135">
        <f>G111/(Table1123457[[#This Row],[b (mm)]]*Z111^2)</f>
        <v>3.4438775510204083E-3</v>
      </c>
      <c r="J111" s="135">
        <f t="shared" si="17"/>
        <v>0.75014690376865456</v>
      </c>
      <c r="K111" s="135">
        <f t="shared" si="18"/>
        <v>1.1995373147044573E-6</v>
      </c>
      <c r="L111" s="135">
        <f>E111/(Table1123457[[#This Row],[b (mm)]]*Z111)</f>
        <v>1.1904761904761906E-3</v>
      </c>
      <c r="M111" s="135">
        <f>Table1123457[[#This Row],[M (KN.mm)]]/(Table1123457[[#This Row],[b (mm)]]*Table1123457[[#This Row],[d (mm)]])</f>
        <v>4.8214285714285712</v>
      </c>
      <c r="N111" s="135">
        <f>Table1123457[[#This Row],[M (KN.mm)]]/(Table1123457[[#This Row],[b (mm)]]*Table1123457[[#This Row],[h (mm)]])</f>
        <v>4.5762711864406782</v>
      </c>
      <c r="O111" s="145">
        <f>Table1123457[[#This Row],[M (KN.mm)]]/(Table1123457[[#This Row],[b (mm)]]*Table1123457[[#This Row],[h (mm)]]*Table1123457[[#This Row],[L(mm)]])</f>
        <v>5.649717514124294E-4</v>
      </c>
      <c r="P111" s="145">
        <f>Table1123457[[#This Row],[M (KN.mm)]]/(Table1123457[[#This Row],[b (mm)]]*Table1123457[[#This Row],[d (mm)]]*Table1123457[[#This Row],[L(mm)]])</f>
        <v>5.9523809523809529E-4</v>
      </c>
      <c r="Q111" s="145">
        <f>Table1123457[[#This Row],[M (KN.mm)]]/(Table1123457[[#This Row],[b (mm)]]*Table1123457[[#This Row],[h (mm)]]*Table1123457[[#This Row],[L(mm)]]*Table1123457[[#This Row],[fc (Mpa)]])</f>
        <v>1.9823570224997523E-5</v>
      </c>
      <c r="R111" s="145">
        <f>Table1123457[[#This Row],[M (KN.mm)]]/(Table1123457[[#This Row],[b (mm)]]*Table1123457[[#This Row],[h (mm)]]*Table1123457[[#This Row],[L(mm)]]/2)</f>
        <v>1.1299435028248588E-3</v>
      </c>
      <c r="S111" s="145">
        <f>Table1123457[[#This Row],[M (KN.mm)]]/(Table1123457[[#This Row],[a (mm)]]*Table1123457[[#This Row],[b (mm)]]*Table1123457[[#This Row],[h (mm)]]*Table1123457[[#This Row],[L(mm)]]/2)</f>
        <v>2.7899839575922437E-7</v>
      </c>
      <c r="T111" s="111">
        <f>G111/($AL$5*AH111*0.001*Table1123457[[#This Row],[pho (%)]])</f>
        <v>1.1546973884639123E-6</v>
      </c>
      <c r="U111" s="145">
        <f>Table1123457[[#This Row],[M (KN.mm)]]/(Table1123457[[#This Row],[b (mm)]]*Table1123457[[#This Row],[d (mm)]]*Table1123457[[#This Row],[pho (%)]])</f>
        <v>5.8089500860585197</v>
      </c>
      <c r="V111" s="145">
        <f>E111*224.8/(2*SQRT(Table1123457[[#This Row],[fc (Mpa)]]*145.037)*Table1123457[[#This Row],[b (mm)]]*Table1123457[[#This Row],[d (mm)]]*(1/25.4)^2)</f>
        <v>1.3427421571393463</v>
      </c>
      <c r="W111" s="145">
        <f>Table1123457[[#This Row],[M (KN.mm)]]/$G$112</f>
        <v>0.91743119266055051</v>
      </c>
      <c r="X111" s="111">
        <f t="shared" si="9"/>
        <v>1.3427421571393463</v>
      </c>
      <c r="Y111" s="111">
        <v>4050</v>
      </c>
      <c r="Z111" s="111">
        <v>1400</v>
      </c>
      <c r="AA111" s="111">
        <v>1475</v>
      </c>
      <c r="AB111" s="111">
        <v>300</v>
      </c>
      <c r="AC111" s="7">
        <v>28.5</v>
      </c>
      <c r="AD111" s="135">
        <f>Table1123457[[#This Row],[pho (%)]]/100*Table1123457[[#This Row],[b (mm)]]*Table1123457[[#This Row],[h (mm)]]</f>
        <v>3672.7500000000005</v>
      </c>
      <c r="AE111" s="135">
        <v>0.83</v>
      </c>
      <c r="AF111" s="160">
        <v>525</v>
      </c>
      <c r="AG111" s="135">
        <f>(1/3-0.21*(MIN(Table1123457[[#This Row],[b (mm)]],AA111)/MAX(Table1123457[[#This Row],[b (mm)]],AA111))*(MIN(Table1123457[[#This Row],[b (mm)]],AA111)^4/(12*MAX(Table1123457[[#This Row],[b (mm)]],AA111)^4)))*MAX(Table1123457[[#This Row],[b (mm)]],AA111)*MIN(Table1123457[[#This Row],[b (mm)]],AA111)^3</f>
        <v>13274757428.370747</v>
      </c>
      <c r="AH111" s="135">
        <f>Table1123457[[#This Row],[b (mm)]]*AA111^3/12</f>
        <v>80226171875</v>
      </c>
      <c r="AI111" s="111">
        <v>8100</v>
      </c>
      <c r="AK111" s="107"/>
    </row>
    <row r="112" spans="1:37" x14ac:dyDescent="0.25">
      <c r="A112" s="255" t="s">
        <v>158</v>
      </c>
      <c r="B112" s="255" t="s">
        <v>141</v>
      </c>
      <c r="C112" s="185">
        <v>111</v>
      </c>
      <c r="D112" s="185">
        <f>Table1123457[[#This Row],[a (mm)]]/Table1123457[[#This Row],[d (mm)]]</f>
        <v>2.8928571428571428</v>
      </c>
      <c r="E112" s="256">
        <v>545</v>
      </c>
      <c r="F112" s="137">
        <f>Table1123457[[#This Row],[d (mm)]]</f>
        <v>1400</v>
      </c>
      <c r="G112" s="135">
        <f t="shared" si="15"/>
        <v>2207250</v>
      </c>
      <c r="H112" s="135">
        <f t="shared" si="16"/>
        <v>1.0446547273433013E-6</v>
      </c>
      <c r="I112" s="135">
        <f>G112/(Table1123457[[#This Row],[b (mm)]]*Z112^2)</f>
        <v>3.7538265306122447E-3</v>
      </c>
      <c r="J112" s="135">
        <f t="shared" si="17"/>
        <v>0.81766012510783348</v>
      </c>
      <c r="K112" s="135">
        <f t="shared" si="18"/>
        <v>1.3074956730278583E-6</v>
      </c>
      <c r="L112" s="135">
        <f>E112/(Table1123457[[#This Row],[b (mm)]]*Z112)</f>
        <v>1.2976190476190477E-3</v>
      </c>
      <c r="M112" s="135">
        <f>Table1123457[[#This Row],[M (KN.mm)]]/(Table1123457[[#This Row],[b (mm)]]*Table1123457[[#This Row],[d (mm)]])</f>
        <v>5.2553571428571431</v>
      </c>
      <c r="N112" s="135">
        <f>Table1123457[[#This Row],[M (KN.mm)]]/(Table1123457[[#This Row],[b (mm)]]*Table1123457[[#This Row],[h (mm)]])</f>
        <v>4.9881355932203393</v>
      </c>
      <c r="O112" s="145">
        <f>Table1123457[[#This Row],[M (KN.mm)]]/(Table1123457[[#This Row],[b (mm)]]*Table1123457[[#This Row],[h (mm)]]*Table1123457[[#This Row],[L(mm)]])</f>
        <v>6.1581920903954802E-4</v>
      </c>
      <c r="P112" s="145">
        <f>Table1123457[[#This Row],[M (KN.mm)]]/(Table1123457[[#This Row],[b (mm)]]*Table1123457[[#This Row],[d (mm)]]*Table1123457[[#This Row],[L(mm)]])</f>
        <v>6.4880952380952383E-4</v>
      </c>
      <c r="Q112" s="145">
        <f>Table1123457[[#This Row],[M (KN.mm)]]/(Table1123457[[#This Row],[b (mm)]]*Table1123457[[#This Row],[h (mm)]]*Table1123457[[#This Row],[L(mm)]]*Table1123457[[#This Row],[fc (Mpa)]])</f>
        <v>2.1607691545247301E-5</v>
      </c>
      <c r="R112" s="145">
        <f>Table1123457[[#This Row],[M (KN.mm)]]/(Table1123457[[#This Row],[b (mm)]]*Table1123457[[#This Row],[h (mm)]]*Table1123457[[#This Row],[L(mm)]]/2)</f>
        <v>1.231638418079096E-3</v>
      </c>
      <c r="S112" s="145">
        <f>Table1123457[[#This Row],[M (KN.mm)]]/(Table1123457[[#This Row],[a (mm)]]*Table1123457[[#This Row],[b (mm)]]*Table1123457[[#This Row],[h (mm)]]*Table1123457[[#This Row],[L(mm)]]/2)</f>
        <v>3.0410825137755456E-7</v>
      </c>
      <c r="T112" s="111">
        <f>G112/($AL$5*AH112*0.001*Table1123457[[#This Row],[pho (%)]])</f>
        <v>1.2586201534256644E-6</v>
      </c>
      <c r="U112" s="145">
        <f>Table1123457[[#This Row],[M (KN.mm)]]/(Table1123457[[#This Row],[b (mm)]]*Table1123457[[#This Row],[d (mm)]]*Table1123457[[#This Row],[pho (%)]])</f>
        <v>6.3317555938037868</v>
      </c>
      <c r="V112" s="145">
        <f>E112*224.8/(2*SQRT(Table1123457[[#This Row],[fc (Mpa)]]*145.037)*Table1123457[[#This Row],[b (mm)]]*Table1123457[[#This Row],[d (mm)]]*(1/25.4)^2)</f>
        <v>1.4635889512818876</v>
      </c>
      <c r="W112" s="145">
        <f>Table1123457[[#This Row],[M (KN.mm)]]/$G$112</f>
        <v>1</v>
      </c>
      <c r="X112" s="111">
        <f t="shared" si="9"/>
        <v>1.4635889512818876</v>
      </c>
      <c r="Y112" s="111">
        <v>4050</v>
      </c>
      <c r="Z112" s="111">
        <v>1400</v>
      </c>
      <c r="AA112" s="111">
        <v>1475</v>
      </c>
      <c r="AB112" s="111">
        <v>300</v>
      </c>
      <c r="AC112" s="7">
        <v>28.5</v>
      </c>
      <c r="AD112" s="135">
        <f>Table1123457[[#This Row],[pho (%)]]/100*Table1123457[[#This Row],[b (mm)]]*Table1123457[[#This Row],[h (mm)]]</f>
        <v>3672.7500000000005</v>
      </c>
      <c r="AE112" s="135">
        <v>0.83</v>
      </c>
      <c r="AF112" s="160">
        <v>525</v>
      </c>
      <c r="AG112" s="135">
        <f>(1/3-0.21*(MIN(Table1123457[[#This Row],[b (mm)]],AA112)/MAX(Table1123457[[#This Row],[b (mm)]],AA112))*(MIN(Table1123457[[#This Row],[b (mm)]],AA112)^4/(12*MAX(Table1123457[[#This Row],[b (mm)]],AA112)^4)))*MAX(Table1123457[[#This Row],[b (mm)]],AA112)*MIN(Table1123457[[#This Row],[b (mm)]],AA112)^3</f>
        <v>13274757428.370747</v>
      </c>
      <c r="AH112" s="135">
        <f>Table1123457[[#This Row],[b (mm)]]*AA112^3/12</f>
        <v>80226171875</v>
      </c>
      <c r="AI112" s="111">
        <v>8100</v>
      </c>
      <c r="AK112" s="107"/>
    </row>
    <row r="113" spans="1:37" x14ac:dyDescent="0.25">
      <c r="A113" s="257" t="s">
        <v>159</v>
      </c>
      <c r="B113" s="257">
        <v>1</v>
      </c>
      <c r="C113" s="185">
        <v>112</v>
      </c>
      <c r="D113" s="185">
        <f>Table1123457[[#This Row],[a (mm)]]/Table1123457[[#This Row],[d (mm)]]</f>
        <v>2.8928571428571428</v>
      </c>
      <c r="E113" s="258">
        <v>30.3</v>
      </c>
      <c r="F113" s="137">
        <f>Table1123457[[#This Row],[d (mm)]]</f>
        <v>280</v>
      </c>
      <c r="G113" s="135">
        <f t="shared" si="15"/>
        <v>24543</v>
      </c>
      <c r="H113" s="135">
        <f t="shared" si="16"/>
        <v>3.0768143986508151E-6</v>
      </c>
      <c r="I113" s="135">
        <f>G113/(Table1123457[[#This Row],[b (mm)]]*Z113^2)</f>
        <v>2.5659710605553695E-3</v>
      </c>
      <c r="J113" s="135">
        <f t="shared" si="17"/>
        <v>0.53187636959302909</v>
      </c>
      <c r="K113" s="135">
        <f t="shared" si="18"/>
        <v>5.1452721182205229E-6</v>
      </c>
      <c r="L113" s="135">
        <f>E113/(Table1123457[[#This Row],[b (mm)]]*Z113)</f>
        <v>8.8700234192037473E-4</v>
      </c>
      <c r="M113" s="135">
        <f>Table1123457[[#This Row],[M (KN.mm)]]/(Table1123457[[#This Row],[b (mm)]]*Table1123457[[#This Row],[d (mm)]])</f>
        <v>0.71847189695550351</v>
      </c>
      <c r="N113" s="135">
        <f>Table1123457[[#This Row],[M (KN.mm)]]/(Table1123457[[#This Row],[b (mm)]]*Table1123457[[#This Row],[h (mm)]])</f>
        <v>0.64894235854045479</v>
      </c>
      <c r="O113" s="145">
        <f>Table1123457[[#This Row],[M (KN.mm)]]/(Table1123457[[#This Row],[b (mm)]]*Table1123457[[#This Row],[h (mm)]]*Table1123457[[#This Row],[L(mm)]])</f>
        <v>4.0058170280274987E-4</v>
      </c>
      <c r="P113" s="145">
        <f>Table1123457[[#This Row],[M (KN.mm)]]/(Table1123457[[#This Row],[b (mm)]]*Table1123457[[#This Row],[d (mm)]]*Table1123457[[#This Row],[L(mm)]])</f>
        <v>4.4350117096018737E-4</v>
      </c>
      <c r="Q113" s="145">
        <f>Table1123457[[#This Row],[M (KN.mm)]]/(Table1123457[[#This Row],[b (mm)]]*Table1123457[[#This Row],[h (mm)]]*Table1123457[[#This Row],[L(mm)]]*Table1123457[[#This Row],[fc (Mpa)]])</f>
        <v>9.5604225012589475E-6</v>
      </c>
      <c r="R113" s="145">
        <f>Table1123457[[#This Row],[M (KN.mm)]]/(Table1123457[[#This Row],[b (mm)]]*Table1123457[[#This Row],[h (mm)]]*Table1123457[[#This Row],[L(mm)]]/2)</f>
        <v>8.0116340560549973E-4</v>
      </c>
      <c r="S113" s="145">
        <f>Table1123457[[#This Row],[M (KN.mm)]]/(Table1123457[[#This Row],[a (mm)]]*Table1123457[[#This Row],[b (mm)]]*Table1123457[[#This Row],[h (mm)]]*Table1123457[[#This Row],[L(mm)]]/2)</f>
        <v>9.8909062420432072E-7</v>
      </c>
      <c r="T113" s="111">
        <f>G113/($AL$5*AH113*0.001*Table1123457[[#This Row],[pho (%)]])</f>
        <v>3.7070052995792952E-6</v>
      </c>
      <c r="U113" s="145">
        <f>Table1123457[[#This Row],[M (KN.mm)]]/(Table1123457[[#This Row],[b (mm)]]*Table1123457[[#This Row],[d (mm)]]*Table1123457[[#This Row],[pho (%)]])</f>
        <v>0.86562879151265482</v>
      </c>
      <c r="V113" s="145">
        <f>E113*224.8/(2*SQRT(Table1123457[[#This Row],[fc (Mpa)]]*145.037)*Table1123457[[#This Row],[b (mm)]]*Table1123457[[#This Row],[d (mm)]]*(1/25.4)^2)</f>
        <v>0.82511046512936892</v>
      </c>
      <c r="W113" s="145">
        <f>Table1123457[[#This Row],[M (KN.mm)]]/$G$116</f>
        <v>0.41678129298486932</v>
      </c>
      <c r="X113" s="111">
        <f t="shared" si="9"/>
        <v>0.82511046512936892</v>
      </c>
      <c r="Y113" s="111">
        <v>810</v>
      </c>
      <c r="Z113" s="111">
        <v>280</v>
      </c>
      <c r="AA113" s="111">
        <v>310</v>
      </c>
      <c r="AB113" s="111">
        <v>122</v>
      </c>
      <c r="AC113" s="7">
        <v>41.9</v>
      </c>
      <c r="AD113" s="135">
        <f>Table1123457[[#This Row],[pho (%)]]/100*Table1123457[[#This Row],[b (mm)]]*Table1123457[[#This Row],[h (mm)]]</f>
        <v>313.90600000000001</v>
      </c>
      <c r="AE113" s="135">
        <v>0.83</v>
      </c>
      <c r="AF113" s="160">
        <v>525</v>
      </c>
      <c r="AG113" s="135">
        <f>(1/3-0.21*(MIN(Table1123457[[#This Row],[b (mm)]],AA113)/MAX(Table1123457[[#This Row],[b (mm)]],AA113))*(MIN(Table1123457[[#This Row],[b (mm)]],AA113)^4/(12*MAX(Table1123457[[#This Row],[b (mm)]],AA113)^4)))*MAX(Table1123457[[#This Row],[b (mm)]],AA113)*MIN(Table1123457[[#This Row],[b (mm)]],AA113)^3</f>
        <v>187544629.45683298</v>
      </c>
      <c r="AH113" s="135">
        <f>Table1123457[[#This Row],[b (mm)]]*AA113^3/12</f>
        <v>302875166.66666669</v>
      </c>
      <c r="AI113" s="111">
        <v>1620</v>
      </c>
      <c r="AK113" s="107"/>
    </row>
    <row r="114" spans="1:37" x14ac:dyDescent="0.25">
      <c r="A114" s="257" t="s">
        <v>159</v>
      </c>
      <c r="B114" s="257">
        <v>2</v>
      </c>
      <c r="C114" s="185">
        <v>113</v>
      </c>
      <c r="D114" s="185">
        <f>Table1123457[[#This Row],[a (mm)]]/Table1123457[[#This Row],[d (mm)]]</f>
        <v>2.8928571428571428</v>
      </c>
      <c r="E114" s="258">
        <v>40.4</v>
      </c>
      <c r="F114" s="137">
        <f>Table1123457[[#This Row],[d (mm)]]</f>
        <v>280</v>
      </c>
      <c r="G114" s="135">
        <f t="shared" si="15"/>
        <v>32724</v>
      </c>
      <c r="H114" s="135">
        <f t="shared" si="16"/>
        <v>4.1024191982010868E-6</v>
      </c>
      <c r="I114" s="135">
        <f>G114/(Table1123457[[#This Row],[b (mm)]]*Z114^2)</f>
        <v>3.4212947474071597E-3</v>
      </c>
      <c r="J114" s="135">
        <f t="shared" si="17"/>
        <v>0.70916849279070548</v>
      </c>
      <c r="K114" s="135">
        <f t="shared" si="18"/>
        <v>6.8603628242940299E-6</v>
      </c>
      <c r="L114" s="135">
        <f>E114/(Table1123457[[#This Row],[b (mm)]]*Z114)</f>
        <v>1.1826697892271662E-3</v>
      </c>
      <c r="M114" s="135">
        <f>Table1123457[[#This Row],[M (KN.mm)]]/(Table1123457[[#This Row],[b (mm)]]*Table1123457[[#This Row],[d (mm)]])</f>
        <v>0.95796252927400471</v>
      </c>
      <c r="N114" s="135">
        <f>Table1123457[[#This Row],[M (KN.mm)]]/(Table1123457[[#This Row],[b (mm)]]*Table1123457[[#This Row],[h (mm)]])</f>
        <v>0.86525647805393968</v>
      </c>
      <c r="O114" s="145">
        <f>Table1123457[[#This Row],[M (KN.mm)]]/(Table1123457[[#This Row],[b (mm)]]*Table1123457[[#This Row],[h (mm)]]*Table1123457[[#This Row],[L(mm)]])</f>
        <v>5.3410893707033316E-4</v>
      </c>
      <c r="P114" s="145">
        <f>Table1123457[[#This Row],[M (KN.mm)]]/(Table1123457[[#This Row],[b (mm)]]*Table1123457[[#This Row],[d (mm)]]*Table1123457[[#This Row],[L(mm)]])</f>
        <v>5.9133489461358319E-4</v>
      </c>
      <c r="Q114" s="145">
        <f>Table1123457[[#This Row],[M (KN.mm)]]/(Table1123457[[#This Row],[b (mm)]]*Table1123457[[#This Row],[h (mm)]]*Table1123457[[#This Row],[L(mm)]]*Table1123457[[#This Row],[fc (Mpa)]])</f>
        <v>1.2747230001678595E-5</v>
      </c>
      <c r="R114" s="145">
        <f>Table1123457[[#This Row],[M (KN.mm)]]/(Table1123457[[#This Row],[b (mm)]]*Table1123457[[#This Row],[h (mm)]]*Table1123457[[#This Row],[L(mm)]]/2)</f>
        <v>1.0682178741406663E-3</v>
      </c>
      <c r="S114" s="145">
        <f>Table1123457[[#This Row],[M (KN.mm)]]/(Table1123457[[#This Row],[a (mm)]]*Table1123457[[#This Row],[b (mm)]]*Table1123457[[#This Row],[h (mm)]]*Table1123457[[#This Row],[L(mm)]]/2)</f>
        <v>1.3187874989390941E-6</v>
      </c>
      <c r="T114" s="111">
        <f>G114/($AL$5*AH114*0.001*Table1123457[[#This Row],[pho (%)]])</f>
        <v>4.9426737327723934E-6</v>
      </c>
      <c r="U114" s="145">
        <f>Table1123457[[#This Row],[M (KN.mm)]]/(Table1123457[[#This Row],[b (mm)]]*Table1123457[[#This Row],[d (mm)]]*Table1123457[[#This Row],[pho (%)]])</f>
        <v>1.1541717220168732</v>
      </c>
      <c r="V114" s="145">
        <f>E114*224.8/(2*SQRT(Table1123457[[#This Row],[fc (Mpa)]]*145.037)*Table1123457[[#This Row],[b (mm)]]*Table1123457[[#This Row],[d (mm)]]*(1/25.4)^2)</f>
        <v>1.1001472868391586</v>
      </c>
      <c r="W114" s="145">
        <f>Table1123457[[#This Row],[M (KN.mm)]]/$G$116</f>
        <v>0.55570839064649247</v>
      </c>
      <c r="X114" s="111">
        <f t="shared" si="9"/>
        <v>1.1001472868391586</v>
      </c>
      <c r="Y114" s="111">
        <v>810</v>
      </c>
      <c r="Z114" s="111">
        <v>280</v>
      </c>
      <c r="AA114" s="111">
        <v>310</v>
      </c>
      <c r="AB114" s="111">
        <v>122</v>
      </c>
      <c r="AC114" s="7">
        <v>41.9</v>
      </c>
      <c r="AD114" s="135">
        <f>Table1123457[[#This Row],[pho (%)]]/100*Table1123457[[#This Row],[b (mm)]]*Table1123457[[#This Row],[h (mm)]]</f>
        <v>313.90600000000001</v>
      </c>
      <c r="AE114" s="135">
        <v>0.83</v>
      </c>
      <c r="AF114" s="160">
        <v>525</v>
      </c>
      <c r="AG114" s="135">
        <f>(1/3-0.21*(MIN(Table1123457[[#This Row],[b (mm)]],AA114)/MAX(Table1123457[[#This Row],[b (mm)]],AA114))*(MIN(Table1123457[[#This Row],[b (mm)]],AA114)^4/(12*MAX(Table1123457[[#This Row],[b (mm)]],AA114)^4)))*MAX(Table1123457[[#This Row],[b (mm)]],AA114)*MIN(Table1123457[[#This Row],[b (mm)]],AA114)^3</f>
        <v>187544629.45683298</v>
      </c>
      <c r="AH114" s="135">
        <f>Table1123457[[#This Row],[b (mm)]]*AA114^3/12</f>
        <v>302875166.66666669</v>
      </c>
      <c r="AI114" s="111">
        <v>1620</v>
      </c>
      <c r="AK114" s="107"/>
    </row>
    <row r="115" spans="1:37" x14ac:dyDescent="0.25">
      <c r="A115" s="257" t="s">
        <v>159</v>
      </c>
      <c r="B115" s="257">
        <v>3</v>
      </c>
      <c r="C115" s="185">
        <v>114</v>
      </c>
      <c r="D115" s="185">
        <f>Table1123457[[#This Row],[a (mm)]]/Table1123457[[#This Row],[d (mm)]]</f>
        <v>2.8928571428571428</v>
      </c>
      <c r="E115" s="258">
        <v>60.3</v>
      </c>
      <c r="F115" s="137">
        <f>Table1123457[[#This Row],[d (mm)]]</f>
        <v>280</v>
      </c>
      <c r="G115" s="135">
        <f t="shared" si="15"/>
        <v>48843</v>
      </c>
      <c r="H115" s="135">
        <f t="shared" si="16"/>
        <v>6.1231652884040978E-6</v>
      </c>
      <c r="I115" s="135">
        <f>G115/(Table1123457[[#This Row],[b (mm)]]*Z115^2)</f>
        <v>5.1065364670458344E-3</v>
      </c>
      <c r="J115" s="135">
        <f t="shared" si="17"/>
        <v>1.0584866365168202</v>
      </c>
      <c r="K115" s="135">
        <f t="shared" si="18"/>
        <v>1.0239600948141831E-5</v>
      </c>
      <c r="L115" s="135">
        <f>E115/(Table1123457[[#This Row],[b (mm)]]*Z115)</f>
        <v>1.765222482435597E-3</v>
      </c>
      <c r="M115" s="135">
        <f>Table1123457[[#This Row],[M (KN.mm)]]/(Table1123457[[#This Row],[b (mm)]]*Table1123457[[#This Row],[d (mm)]])</f>
        <v>1.4298302107728338</v>
      </c>
      <c r="N115" s="135">
        <f>Table1123457[[#This Row],[M (KN.mm)]]/(Table1123457[[#This Row],[b (mm)]]*Table1123457[[#This Row],[h (mm)]])</f>
        <v>1.2914595452141724</v>
      </c>
      <c r="O115" s="145">
        <f>Table1123457[[#This Row],[M (KN.mm)]]/(Table1123457[[#This Row],[b (mm)]]*Table1123457[[#This Row],[h (mm)]]*Table1123457[[#This Row],[L(mm)]])</f>
        <v>7.9719725013220524E-4</v>
      </c>
      <c r="P115" s="145">
        <f>Table1123457[[#This Row],[M (KN.mm)]]/(Table1123457[[#This Row],[b (mm)]]*Table1123457[[#This Row],[d (mm)]]*Table1123457[[#This Row],[L(mm)]])</f>
        <v>8.8261124121779861E-4</v>
      </c>
      <c r="Q115" s="145">
        <f>Table1123457[[#This Row],[M (KN.mm)]]/(Table1123457[[#This Row],[b (mm)]]*Table1123457[[#This Row],[h (mm)]]*Table1123457[[#This Row],[L(mm)]]*Table1123457[[#This Row],[fc (Mpa)]])</f>
        <v>1.9026187353990578E-5</v>
      </c>
      <c r="R115" s="145">
        <f>Table1123457[[#This Row],[M (KN.mm)]]/(Table1123457[[#This Row],[b (mm)]]*Table1123457[[#This Row],[h (mm)]]*Table1123457[[#This Row],[L(mm)]]/2)</f>
        <v>1.5943945002644105E-3</v>
      </c>
      <c r="S115" s="145">
        <f>Table1123457[[#This Row],[M (KN.mm)]]/(Table1123457[[#This Row],[a (mm)]]*Table1123457[[#This Row],[b (mm)]]*Table1123457[[#This Row],[h (mm)]]*Table1123457[[#This Row],[L(mm)]]/2)</f>
        <v>1.9683882719313707E-6</v>
      </c>
      <c r="T115" s="111">
        <f>G115/($AL$5*AH115*0.001*Table1123457[[#This Row],[pho (%)]])</f>
        <v>7.3773075763904788E-6</v>
      </c>
      <c r="U115" s="145">
        <f>Table1123457[[#This Row],[M (KN.mm)]]/(Table1123457[[#This Row],[b (mm)]]*Table1123457[[#This Row],[d (mm)]]*Table1123457[[#This Row],[pho (%)]])</f>
        <v>1.722687000931125</v>
      </c>
      <c r="V115" s="145">
        <f>E115*224.8/(2*SQRT(Table1123457[[#This Row],[fc (Mpa)]]*145.037)*Table1123457[[#This Row],[b (mm)]]*Table1123457[[#This Row],[d (mm)]]*(1/25.4)^2)</f>
        <v>1.6420515197129024</v>
      </c>
      <c r="W115" s="145">
        <f>Table1123457[[#This Row],[M (KN.mm)]]/$G$116</f>
        <v>0.82943603851444292</v>
      </c>
      <c r="X115" s="111">
        <f t="shared" si="9"/>
        <v>1.6420515197129024</v>
      </c>
      <c r="Y115" s="111">
        <v>810</v>
      </c>
      <c r="Z115" s="111">
        <v>280</v>
      </c>
      <c r="AA115" s="111">
        <v>310</v>
      </c>
      <c r="AB115" s="111">
        <v>122</v>
      </c>
      <c r="AC115" s="7">
        <v>41.9</v>
      </c>
      <c r="AD115" s="135">
        <f>Table1123457[[#This Row],[pho (%)]]/100*Table1123457[[#This Row],[b (mm)]]*Table1123457[[#This Row],[h (mm)]]</f>
        <v>313.90600000000001</v>
      </c>
      <c r="AE115" s="135">
        <v>0.83</v>
      </c>
      <c r="AF115" s="160">
        <v>525</v>
      </c>
      <c r="AG115" s="135">
        <f>(1/3-0.21*(MIN(Table1123457[[#This Row],[b (mm)]],AA115)/MAX(Table1123457[[#This Row],[b (mm)]],AA115))*(MIN(Table1123457[[#This Row],[b (mm)]],AA115)^4/(12*MAX(Table1123457[[#This Row],[b (mm)]],AA115)^4)))*MAX(Table1123457[[#This Row],[b (mm)]],AA115)*MIN(Table1123457[[#This Row],[b (mm)]],AA115)^3</f>
        <v>187544629.45683298</v>
      </c>
      <c r="AH115" s="135">
        <f>Table1123457[[#This Row],[b (mm)]]*AA115^3/12</f>
        <v>302875166.66666669</v>
      </c>
      <c r="AI115" s="111">
        <v>1620</v>
      </c>
      <c r="AK115" s="107"/>
    </row>
    <row r="116" spans="1:37" x14ac:dyDescent="0.25">
      <c r="A116" s="257" t="s">
        <v>159</v>
      </c>
      <c r="B116" s="257" t="s">
        <v>141</v>
      </c>
      <c r="C116" s="185">
        <v>115</v>
      </c>
      <c r="D116" s="185">
        <f>Table1123457[[#This Row],[a (mm)]]/Table1123457[[#This Row],[d (mm)]]</f>
        <v>2.8928571428571428</v>
      </c>
      <c r="E116" s="258">
        <v>72.7</v>
      </c>
      <c r="F116" s="137">
        <f>Table1123457[[#This Row],[d (mm)]]</f>
        <v>280</v>
      </c>
      <c r="G116" s="135">
        <f t="shared" si="15"/>
        <v>58887</v>
      </c>
      <c r="H116" s="135">
        <f t="shared" si="16"/>
        <v>7.3823236561687873E-6</v>
      </c>
      <c r="I116" s="135">
        <f>G116/(Table1123457[[#This Row],[b (mm)]]*Z116^2)</f>
        <v>6.1566368350618938E-3</v>
      </c>
      <c r="J116" s="135">
        <f t="shared" si="17"/>
        <v>1.2761522135119872</v>
      </c>
      <c r="K116" s="135">
        <f t="shared" si="18"/>
        <v>1.2345256864509307E-5</v>
      </c>
      <c r="L116" s="135">
        <f>E116/(Table1123457[[#This Row],[b (mm)]]*Z116)</f>
        <v>2.1282201405152224E-3</v>
      </c>
      <c r="M116" s="135">
        <f>Table1123457[[#This Row],[M (KN.mm)]]/(Table1123457[[#This Row],[b (mm)]]*Table1123457[[#This Row],[d (mm)]])</f>
        <v>1.7238583138173302</v>
      </c>
      <c r="N116" s="135">
        <f>Table1123457[[#This Row],[M (KN.mm)]]/(Table1123457[[#This Row],[b (mm)]]*Table1123457[[#This Row],[h (mm)]])</f>
        <v>1.5570333157059757</v>
      </c>
      <c r="O116" s="145">
        <f>Table1123457[[#This Row],[M (KN.mm)]]/(Table1123457[[#This Row],[b (mm)]]*Table1123457[[#This Row],[h (mm)]]*Table1123457[[#This Row],[L(mm)]])</f>
        <v>9.6113167636171343E-4</v>
      </c>
      <c r="P116" s="145">
        <f>Table1123457[[#This Row],[M (KN.mm)]]/(Table1123457[[#This Row],[b (mm)]]*Table1123457[[#This Row],[d (mm)]]*Table1123457[[#This Row],[L(mm)]])</f>
        <v>1.0641100702576112E-3</v>
      </c>
      <c r="Q116" s="145">
        <f>Table1123457[[#This Row],[M (KN.mm)]]/(Table1123457[[#This Row],[b (mm)]]*Table1123457[[#This Row],[h (mm)]]*Table1123457[[#This Row],[L(mm)]]*Table1123457[[#This Row],[fc (Mpa)]])</f>
        <v>2.293870349311965E-5</v>
      </c>
      <c r="R116" s="145">
        <f>Table1123457[[#This Row],[M (KN.mm)]]/(Table1123457[[#This Row],[b (mm)]]*Table1123457[[#This Row],[h (mm)]]*Table1123457[[#This Row],[L(mm)]]/2)</f>
        <v>1.9222633527234269E-3</v>
      </c>
      <c r="S116" s="145">
        <f>Table1123457[[#This Row],[M (KN.mm)]]/(Table1123457[[#This Row],[a (mm)]]*Table1123457[[#This Row],[b (mm)]]*Table1123457[[#This Row],[h (mm)]]*Table1123457[[#This Row],[L(mm)]]/2)</f>
        <v>2.3731646329918849E-6</v>
      </c>
      <c r="T116" s="111">
        <f>G116/($AL$5*AH116*0.001*Table1123457[[#This Row],[pho (%)]])</f>
        <v>8.8943658508057675E-6</v>
      </c>
      <c r="U116" s="145">
        <f>Table1123457[[#This Row],[M (KN.mm)]]/(Table1123457[[#This Row],[b (mm)]]*Table1123457[[#This Row],[d (mm)]]*Table1123457[[#This Row],[pho (%)]])</f>
        <v>2.0769377274907592</v>
      </c>
      <c r="V116" s="145">
        <f>E116*224.8/(2*SQRT(Table1123457[[#This Row],[fc (Mpa)]]*145.037)*Table1123457[[#This Row],[b (mm)]]*Table1123457[[#This Row],[d (mm)]]*(1/25.4)^2)</f>
        <v>1.9797204889407631</v>
      </c>
      <c r="W116" s="145">
        <f>Table1123457[[#This Row],[M (KN.mm)]]/$G$116</f>
        <v>1</v>
      </c>
      <c r="X116" s="111">
        <f t="shared" si="9"/>
        <v>1.9797204889407631</v>
      </c>
      <c r="Y116" s="111">
        <v>810</v>
      </c>
      <c r="Z116" s="111">
        <v>280</v>
      </c>
      <c r="AA116" s="111">
        <v>310</v>
      </c>
      <c r="AB116" s="111">
        <v>122</v>
      </c>
      <c r="AC116" s="7">
        <v>41.9</v>
      </c>
      <c r="AD116" s="135">
        <f>Table1123457[[#This Row],[pho (%)]]/100*Table1123457[[#This Row],[b (mm)]]*Table1123457[[#This Row],[h (mm)]]</f>
        <v>313.90600000000001</v>
      </c>
      <c r="AE116" s="135">
        <v>0.83</v>
      </c>
      <c r="AF116" s="160">
        <v>525</v>
      </c>
      <c r="AG116" s="135">
        <f>(1/3-0.21*(MIN(Table1123457[[#This Row],[b (mm)]],AA116)/MAX(Table1123457[[#This Row],[b (mm)]],AA116))*(MIN(Table1123457[[#This Row],[b (mm)]],AA116)^4/(12*MAX(Table1123457[[#This Row],[b (mm)]],AA116)^4)))*MAX(Table1123457[[#This Row],[b (mm)]],AA116)*MIN(Table1123457[[#This Row],[b (mm)]],AA116)^3</f>
        <v>187544629.45683298</v>
      </c>
      <c r="AH116" s="135">
        <f>Table1123457[[#This Row],[b (mm)]]*AA116^3/12</f>
        <v>302875166.66666669</v>
      </c>
      <c r="AI116" s="111">
        <v>1620</v>
      </c>
      <c r="AK116" s="107"/>
    </row>
    <row r="117" spans="1:37" x14ac:dyDescent="0.25">
      <c r="A117" s="259" t="s">
        <v>160</v>
      </c>
      <c r="B117" s="259">
        <v>1</v>
      </c>
      <c r="C117" s="185">
        <v>116</v>
      </c>
      <c r="D117" s="185">
        <f>Table1123457[[#This Row],[a (mm)]]/Table1123457[[#This Row],[d (mm)]]</f>
        <v>2.8928571428571428</v>
      </c>
      <c r="E117" s="260">
        <v>20.5</v>
      </c>
      <c r="F117" s="137">
        <f>Table1123457[[#This Row],[d (mm)]]</f>
        <v>280</v>
      </c>
      <c r="G117" s="135">
        <f t="shared" si="15"/>
        <v>16605</v>
      </c>
      <c r="H117" s="135">
        <f t="shared" si="16"/>
        <v>2.0816731079980762E-6</v>
      </c>
      <c r="I117" s="135">
        <f>G117/(Table1123457[[#This Row],[b (mm)]]*Z117^2)</f>
        <v>1.7360530277684845E-3</v>
      </c>
      <c r="J117" s="135">
        <f t="shared" si="17"/>
        <v>0.35985034906459062</v>
      </c>
      <c r="K117" s="135">
        <f t="shared" si="18"/>
        <v>3.4811247004462278E-6</v>
      </c>
      <c r="L117" s="135">
        <f>E117/(Table1123457[[#This Row],[b (mm)]]*Z117)</f>
        <v>6.0011709601873534E-4</v>
      </c>
      <c r="M117" s="135">
        <f>Table1123457[[#This Row],[M (KN.mm)]]/(Table1123457[[#This Row],[b (mm)]]*Table1123457[[#This Row],[d (mm)]])</f>
        <v>0.48609484777517564</v>
      </c>
      <c r="N117" s="135">
        <f>Table1123457[[#This Row],[M (KN.mm)]]/(Table1123457[[#This Row],[b (mm)]]*Table1123457[[#This Row],[h (mm)]])</f>
        <v>0.43905341089370703</v>
      </c>
      <c r="O117" s="145">
        <f>Table1123457[[#This Row],[M (KN.mm)]]/(Table1123457[[#This Row],[b (mm)]]*Table1123457[[#This Row],[h (mm)]]*Table1123457[[#This Row],[L(mm)]])</f>
        <v>2.7102062400846113E-4</v>
      </c>
      <c r="P117" s="145">
        <f>Table1123457[[#This Row],[M (KN.mm)]]/(Table1123457[[#This Row],[b (mm)]]*Table1123457[[#This Row],[d (mm)]]*Table1123457[[#This Row],[L(mm)]])</f>
        <v>3.0005854800936767E-4</v>
      </c>
      <c r="Q117" s="145">
        <f>Table1123457[[#This Row],[M (KN.mm)]]/(Table1123457[[#This Row],[b (mm)]]*Table1123457[[#This Row],[h (mm)]]*Table1123457[[#This Row],[L(mm)]]*Table1123457[[#This Row],[fc (Mpa)]])</f>
        <v>6.4682726493666142E-6</v>
      </c>
      <c r="R117" s="145">
        <f>Table1123457[[#This Row],[M (KN.mm)]]/(Table1123457[[#This Row],[b (mm)]]*Table1123457[[#This Row],[h (mm)]]*Table1123457[[#This Row],[L(mm)]]/2)</f>
        <v>5.4204124801692226E-4</v>
      </c>
      <c r="S117" s="145">
        <f>Table1123457[[#This Row],[M (KN.mm)]]/(Table1123457[[#This Row],[a (mm)]]*Table1123457[[#This Row],[b (mm)]]*Table1123457[[#This Row],[h (mm)]]*Table1123457[[#This Row],[L(mm)]]/2)</f>
        <v>6.6918672594681756E-7</v>
      </c>
      <c r="T117" s="111">
        <f>G117/($AL$5*AH117*0.001*Table1123457[[#This Row],[pho (%)]])</f>
        <v>2.5080398891543088E-6</v>
      </c>
      <c r="U117" s="145">
        <f>Table1123457[[#This Row],[M (KN.mm)]]/(Table1123457[[#This Row],[b (mm)]]*Table1123457[[#This Row],[d (mm)]]*Table1123457[[#This Row],[pho (%)]])</f>
        <v>0.58565644310262133</v>
      </c>
      <c r="V117" s="145">
        <f>E117*224.8/(2*SQRT(Table1123457[[#This Row],[fc (Mpa)]]*145.037)*Table1123457[[#This Row],[b (mm)]]*Table1123457[[#This Row],[d (mm)]]*(1/25.4)^2)</f>
        <v>0.55824305396541463</v>
      </c>
      <c r="W117" s="145">
        <f>Table1123457[[#This Row],[M (KN.mm)]]/$G$124</f>
        <v>0.26938239159001315</v>
      </c>
      <c r="X117" s="111">
        <f t="shared" si="9"/>
        <v>0.55824305396541463</v>
      </c>
      <c r="Y117" s="111">
        <v>810</v>
      </c>
      <c r="Z117" s="111">
        <v>280</v>
      </c>
      <c r="AA117" s="111">
        <v>310</v>
      </c>
      <c r="AB117" s="111">
        <v>122</v>
      </c>
      <c r="AC117" s="7">
        <v>41.9</v>
      </c>
      <c r="AD117" s="135">
        <f>Table1123457[[#This Row],[pho (%)]]/100*Table1123457[[#This Row],[b (mm)]]*Table1123457[[#This Row],[h (mm)]]</f>
        <v>313.90600000000001</v>
      </c>
      <c r="AE117" s="135">
        <v>0.83</v>
      </c>
      <c r="AF117" s="160">
        <v>525</v>
      </c>
      <c r="AG117" s="135">
        <f>(1/3-0.21*(MIN(Table1123457[[#This Row],[b (mm)]],AA117)/MAX(Table1123457[[#This Row],[b (mm)]],AA117))*(MIN(Table1123457[[#This Row],[b (mm)]],AA117)^4/(12*MAX(Table1123457[[#This Row],[b (mm)]],AA117)^4)))*MAX(Table1123457[[#This Row],[b (mm)]],AA117)*MIN(Table1123457[[#This Row],[b (mm)]],AA117)^3</f>
        <v>187544629.45683298</v>
      </c>
      <c r="AH117" s="135">
        <f>Table1123457[[#This Row],[b (mm)]]*AA117^3/12</f>
        <v>302875166.66666669</v>
      </c>
      <c r="AI117" s="111">
        <v>1620</v>
      </c>
      <c r="AK117" s="107"/>
    </row>
    <row r="118" spans="1:37" x14ac:dyDescent="0.25">
      <c r="A118" s="259" t="s">
        <v>160</v>
      </c>
      <c r="B118" s="259">
        <v>2</v>
      </c>
      <c r="C118" s="185">
        <v>117</v>
      </c>
      <c r="D118" s="185">
        <f>Table1123457[[#This Row],[a (mm)]]/Table1123457[[#This Row],[d (mm)]]</f>
        <v>2.8928571428571428</v>
      </c>
      <c r="E118" s="260">
        <v>30.1</v>
      </c>
      <c r="F118" s="137">
        <f>Table1123457[[#This Row],[d (mm)]]</f>
        <v>280</v>
      </c>
      <c r="G118" s="135">
        <f t="shared" si="15"/>
        <v>24381</v>
      </c>
      <c r="H118" s="135">
        <f t="shared" si="16"/>
        <v>3.0565053927191267E-6</v>
      </c>
      <c r="I118" s="135">
        <f>G118/(Table1123457[[#This Row],[b (mm)]]*Z118^2)</f>
        <v>2.5490339578454332E-3</v>
      </c>
      <c r="J118" s="135">
        <f t="shared" si="17"/>
        <v>0.52836563448020379</v>
      </c>
      <c r="K118" s="135">
        <f t="shared" si="18"/>
        <v>5.1113099260210474E-6</v>
      </c>
      <c r="L118" s="135">
        <f>E118/(Table1123457[[#This Row],[b (mm)]]*Z118)</f>
        <v>8.8114754098360664E-4</v>
      </c>
      <c r="M118" s="135">
        <f>Table1123457[[#This Row],[M (KN.mm)]]/(Table1123457[[#This Row],[b (mm)]]*Table1123457[[#This Row],[d (mm)]])</f>
        <v>0.71372950819672132</v>
      </c>
      <c r="N118" s="135">
        <f>Table1123457[[#This Row],[M (KN.mm)]]/(Table1123457[[#This Row],[b (mm)]]*Table1123457[[#This Row],[h (mm)]])</f>
        <v>0.6446589106292967</v>
      </c>
      <c r="O118" s="145">
        <f>Table1123457[[#This Row],[M (KN.mm)]]/(Table1123457[[#This Row],[b (mm)]]*Table1123457[[#This Row],[h (mm)]]*Table1123457[[#This Row],[L(mm)]])</f>
        <v>3.9793759915388683E-4</v>
      </c>
      <c r="P118" s="145">
        <f>Table1123457[[#This Row],[M (KN.mm)]]/(Table1123457[[#This Row],[b (mm)]]*Table1123457[[#This Row],[d (mm)]]*Table1123457[[#This Row],[L(mm)]])</f>
        <v>4.4057377049180326E-4</v>
      </c>
      <c r="Q118" s="145">
        <f>Table1123457[[#This Row],[M (KN.mm)]]/(Table1123457[[#This Row],[b (mm)]]*Table1123457[[#This Row],[h (mm)]]*Table1123457[[#This Row],[L(mm)]]*Table1123457[[#This Row],[fc (Mpa)]])</f>
        <v>9.4973174022407352E-6</v>
      </c>
      <c r="R118" s="145">
        <f>Table1123457[[#This Row],[M (KN.mm)]]/(Table1123457[[#This Row],[b (mm)]]*Table1123457[[#This Row],[h (mm)]]*Table1123457[[#This Row],[L(mm)]]/2)</f>
        <v>7.9587519830777366E-4</v>
      </c>
      <c r="S118" s="145">
        <f>Table1123457[[#This Row],[M (KN.mm)]]/(Table1123457[[#This Row],[a (mm)]]*Table1123457[[#This Row],[b (mm)]]*Table1123457[[#This Row],[h (mm)]]*Table1123457[[#This Row],[L(mm)]]/2)</f>
        <v>9.8256197321947358E-7</v>
      </c>
      <c r="T118" s="111">
        <f>G118/($AL$5*AH118*0.001*Table1123457[[#This Row],[pho (%)]])</f>
        <v>3.6825366177338876E-6</v>
      </c>
      <c r="U118" s="145">
        <f>Table1123457[[#This Row],[M (KN.mm)]]/(Table1123457[[#This Row],[b (mm)]]*Table1123457[[#This Row],[d (mm)]]*Table1123457[[#This Row],[pho (%)]])</f>
        <v>0.85991507011653168</v>
      </c>
      <c r="V118" s="145">
        <f>E118*224.8/(2*SQRT(Table1123457[[#This Row],[fc (Mpa)]]*145.037)*Table1123457[[#This Row],[b (mm)]]*Table1123457[[#This Row],[d (mm)]]*(1/25.4)^2)</f>
        <v>0.81966419143214542</v>
      </c>
      <c r="W118" s="145">
        <f>Table1123457[[#This Row],[M (KN.mm)]]/$G$124</f>
        <v>0.39553219448094618</v>
      </c>
      <c r="X118" s="111">
        <f t="shared" si="9"/>
        <v>0.81966419143214542</v>
      </c>
      <c r="Y118" s="111">
        <v>810</v>
      </c>
      <c r="Z118" s="111">
        <v>280</v>
      </c>
      <c r="AA118" s="111">
        <v>310</v>
      </c>
      <c r="AB118" s="111">
        <v>122</v>
      </c>
      <c r="AC118" s="7">
        <v>41.9</v>
      </c>
      <c r="AD118" s="135">
        <f>Table1123457[[#This Row],[pho (%)]]/100*Table1123457[[#This Row],[b (mm)]]*Table1123457[[#This Row],[h (mm)]]</f>
        <v>313.90600000000001</v>
      </c>
      <c r="AE118" s="135">
        <v>0.83</v>
      </c>
      <c r="AF118" s="160">
        <v>525</v>
      </c>
      <c r="AG118" s="135">
        <f>(1/3-0.21*(MIN(Table1123457[[#This Row],[b (mm)]],AA118)/MAX(Table1123457[[#This Row],[b (mm)]],AA118))*(MIN(Table1123457[[#This Row],[b (mm)]],AA118)^4/(12*MAX(Table1123457[[#This Row],[b (mm)]],AA118)^4)))*MAX(Table1123457[[#This Row],[b (mm)]],AA118)*MIN(Table1123457[[#This Row],[b (mm)]],AA118)^3</f>
        <v>187544629.45683298</v>
      </c>
      <c r="AH118" s="135">
        <f>Table1123457[[#This Row],[b (mm)]]*AA118^3/12</f>
        <v>302875166.66666669</v>
      </c>
      <c r="AI118" s="111">
        <v>1620</v>
      </c>
      <c r="AK118" s="107"/>
    </row>
    <row r="119" spans="1:37" x14ac:dyDescent="0.25">
      <c r="A119" s="259" t="s">
        <v>160</v>
      </c>
      <c r="B119" s="259">
        <v>3</v>
      </c>
      <c r="C119" s="185">
        <v>118</v>
      </c>
      <c r="D119" s="185">
        <f>Table1123457[[#This Row],[a (mm)]]/Table1123457[[#This Row],[d (mm)]]</f>
        <v>2.8928571428571428</v>
      </c>
      <c r="E119" s="260">
        <v>36.5</v>
      </c>
      <c r="F119" s="137">
        <f>Table1123457[[#This Row],[d (mm)]]</f>
        <v>280</v>
      </c>
      <c r="G119" s="135">
        <f t="shared" si="15"/>
        <v>29565</v>
      </c>
      <c r="H119" s="135">
        <f t="shared" si="16"/>
        <v>3.7063935825331602E-6</v>
      </c>
      <c r="I119" s="135">
        <f>G119/(Table1123457[[#This Row],[b (mm)]]*Z119^2)</f>
        <v>3.0910212445633993E-3</v>
      </c>
      <c r="J119" s="135">
        <f t="shared" si="17"/>
        <v>0.64070915809061257</v>
      </c>
      <c r="K119" s="135">
        <f t="shared" si="18"/>
        <v>6.1981000764042599E-6</v>
      </c>
      <c r="L119" s="135">
        <f>E119/(Table1123457[[#This Row],[b (mm)]]*Z119)</f>
        <v>1.0685011709601873E-3</v>
      </c>
      <c r="M119" s="135">
        <f>Table1123457[[#This Row],[M (KN.mm)]]/(Table1123457[[#This Row],[b (mm)]]*Table1123457[[#This Row],[d (mm)]])</f>
        <v>0.86548594847775173</v>
      </c>
      <c r="N119" s="135">
        <f>Table1123457[[#This Row],[M (KN.mm)]]/(Table1123457[[#This Row],[b (mm)]]*Table1123457[[#This Row],[h (mm)]])</f>
        <v>0.78172924378635644</v>
      </c>
      <c r="O119" s="145">
        <f>Table1123457[[#This Row],[M (KN.mm)]]/(Table1123457[[#This Row],[b (mm)]]*Table1123457[[#This Row],[h (mm)]]*Table1123457[[#This Row],[L(mm)]])</f>
        <v>4.8254891591750397E-4</v>
      </c>
      <c r="P119" s="145">
        <f>Table1123457[[#This Row],[M (KN.mm)]]/(Table1123457[[#This Row],[b (mm)]]*Table1123457[[#This Row],[d (mm)]]*Table1123457[[#This Row],[L(mm)]])</f>
        <v>5.3425058548009366E-4</v>
      </c>
      <c r="Q119" s="145">
        <f>Table1123457[[#This Row],[M (KN.mm)]]/(Table1123457[[#This Row],[b (mm)]]*Table1123457[[#This Row],[h (mm)]]*Table1123457[[#This Row],[L(mm)]]*Table1123457[[#This Row],[fc (Mpa)]])</f>
        <v>1.1516680570823484E-5</v>
      </c>
      <c r="R119" s="145">
        <f>Table1123457[[#This Row],[M (KN.mm)]]/(Table1123457[[#This Row],[b (mm)]]*Table1123457[[#This Row],[h (mm)]]*Table1123457[[#This Row],[L(mm)]]/2)</f>
        <v>9.6509783183500793E-4</v>
      </c>
      <c r="S119" s="145">
        <f>Table1123457[[#This Row],[M (KN.mm)]]/(Table1123457[[#This Row],[a (mm)]]*Table1123457[[#This Row],[b (mm)]]*Table1123457[[#This Row],[h (mm)]]*Table1123457[[#This Row],[L(mm)]]/2)</f>
        <v>1.1914788047345776E-6</v>
      </c>
      <c r="T119" s="111">
        <f>G119/($AL$5*AH119*0.001*Table1123457[[#This Row],[pho (%)]])</f>
        <v>4.46553443678694E-6</v>
      </c>
      <c r="U119" s="145">
        <f>Table1123457[[#This Row],[M (KN.mm)]]/(Table1123457[[#This Row],[b (mm)]]*Table1123457[[#This Row],[d (mm)]]*Table1123457[[#This Row],[pho (%)]])</f>
        <v>1.0427541547924721</v>
      </c>
      <c r="V119" s="145">
        <f>E119*224.8/(2*SQRT(Table1123457[[#This Row],[fc (Mpa)]]*145.037)*Table1123457[[#This Row],[b (mm)]]*Table1123457[[#This Row],[d (mm)]]*(1/25.4)^2)</f>
        <v>0.99394494974329928</v>
      </c>
      <c r="W119" s="145">
        <f>Table1123457[[#This Row],[M (KN.mm)]]/$G$124</f>
        <v>0.47963206307490153</v>
      </c>
      <c r="X119" s="111">
        <f t="shared" si="9"/>
        <v>0.99394494974329928</v>
      </c>
      <c r="Y119" s="111">
        <v>810</v>
      </c>
      <c r="Z119" s="111">
        <v>280</v>
      </c>
      <c r="AA119" s="111">
        <v>310</v>
      </c>
      <c r="AB119" s="111">
        <v>122</v>
      </c>
      <c r="AC119" s="7">
        <v>41.9</v>
      </c>
      <c r="AD119" s="135">
        <f>Table1123457[[#This Row],[pho (%)]]/100*Table1123457[[#This Row],[b (mm)]]*Table1123457[[#This Row],[h (mm)]]</f>
        <v>313.90600000000001</v>
      </c>
      <c r="AE119" s="135">
        <v>0.83</v>
      </c>
      <c r="AF119" s="160">
        <v>525</v>
      </c>
      <c r="AG119" s="135">
        <f>(1/3-0.21*(MIN(Table1123457[[#This Row],[b (mm)]],AA119)/MAX(Table1123457[[#This Row],[b (mm)]],AA119))*(MIN(Table1123457[[#This Row],[b (mm)]],AA119)^4/(12*MAX(Table1123457[[#This Row],[b (mm)]],AA119)^4)))*MAX(Table1123457[[#This Row],[b (mm)]],AA119)*MIN(Table1123457[[#This Row],[b (mm)]],AA119)^3</f>
        <v>187544629.45683298</v>
      </c>
      <c r="AH119" s="135">
        <f>Table1123457[[#This Row],[b (mm)]]*AA119^3/12</f>
        <v>302875166.66666669</v>
      </c>
      <c r="AI119" s="111">
        <v>1620</v>
      </c>
      <c r="AK119" s="107"/>
    </row>
    <row r="120" spans="1:37" x14ac:dyDescent="0.25">
      <c r="A120" s="259" t="s">
        <v>160</v>
      </c>
      <c r="B120" s="259">
        <v>4</v>
      </c>
      <c r="C120" s="185">
        <v>119</v>
      </c>
      <c r="D120" s="185">
        <f>Table1123457[[#This Row],[a (mm)]]/Table1123457[[#This Row],[d (mm)]]</f>
        <v>2.8928571428571428</v>
      </c>
      <c r="E120" s="260">
        <v>43.1</v>
      </c>
      <c r="F120" s="137">
        <f>Table1123457[[#This Row],[d (mm)]]</f>
        <v>280</v>
      </c>
      <c r="G120" s="135">
        <f t="shared" si="15"/>
        <v>34911</v>
      </c>
      <c r="H120" s="135">
        <f t="shared" si="16"/>
        <v>4.3765907782788822E-6</v>
      </c>
      <c r="I120" s="135">
        <f>G120/(Table1123457[[#This Row],[b (mm)]]*Z120^2)</f>
        <v>3.6499456339913012E-3</v>
      </c>
      <c r="J120" s="135">
        <f t="shared" si="17"/>
        <v>0.75656341681384665</v>
      </c>
      <c r="K120" s="135">
        <f t="shared" si="18"/>
        <v>7.3188524189869479E-6</v>
      </c>
      <c r="L120" s="135">
        <f>E120/(Table1123457[[#This Row],[b (mm)]]*Z120)</f>
        <v>1.2617096018735364E-3</v>
      </c>
      <c r="M120" s="135">
        <f>Table1123457[[#This Row],[M (KN.mm)]]/(Table1123457[[#This Row],[b (mm)]]*Table1123457[[#This Row],[d (mm)]])</f>
        <v>1.0219847775175643</v>
      </c>
      <c r="N120" s="135">
        <f>Table1123457[[#This Row],[M (KN.mm)]]/(Table1123457[[#This Row],[b (mm)]]*Table1123457[[#This Row],[h (mm)]])</f>
        <v>0.92308302485457427</v>
      </c>
      <c r="O120" s="145">
        <f>Table1123457[[#This Row],[M (KN.mm)]]/(Table1123457[[#This Row],[b (mm)]]*Table1123457[[#This Row],[h (mm)]]*Table1123457[[#This Row],[L(mm)]])</f>
        <v>5.6980433632998419E-4</v>
      </c>
      <c r="P120" s="145">
        <f>Table1123457[[#This Row],[M (KN.mm)]]/(Table1123457[[#This Row],[b (mm)]]*Table1123457[[#This Row],[d (mm)]]*Table1123457[[#This Row],[L(mm)]])</f>
        <v>6.3085480093676811E-4</v>
      </c>
      <c r="Q120" s="145">
        <f>Table1123457[[#This Row],[M (KN.mm)]]/(Table1123457[[#This Row],[b (mm)]]*Table1123457[[#This Row],[h (mm)]]*Table1123457[[#This Row],[L(mm)]]*Table1123457[[#This Row],[fc (Mpa)]])</f>
        <v>1.3599148838424443E-5</v>
      </c>
      <c r="R120" s="145">
        <f>Table1123457[[#This Row],[M (KN.mm)]]/(Table1123457[[#This Row],[b (mm)]]*Table1123457[[#This Row],[h (mm)]]*Table1123457[[#This Row],[L(mm)]]/2)</f>
        <v>1.1396086726599684E-3</v>
      </c>
      <c r="S120" s="145">
        <f>Table1123457[[#This Row],[M (KN.mm)]]/(Table1123457[[#This Row],[a (mm)]]*Table1123457[[#This Row],[b (mm)]]*Table1123457[[#This Row],[h (mm)]]*Table1123457[[#This Row],[L(mm)]]/2)</f>
        <v>1.4069242872345287E-6</v>
      </c>
      <c r="T120" s="111">
        <f>G120/($AL$5*AH120*0.001*Table1123457[[#This Row],[pho (%)]])</f>
        <v>5.2730009376854001E-6</v>
      </c>
      <c r="U120" s="145">
        <f>Table1123457[[#This Row],[M (KN.mm)]]/(Table1123457[[#This Row],[b (mm)]]*Table1123457[[#This Row],[d (mm)]]*Table1123457[[#This Row],[pho (%)]])</f>
        <v>1.2313069608645355</v>
      </c>
      <c r="V120" s="145">
        <f>E120*224.8/(2*SQRT(Table1123457[[#This Row],[fc (Mpa)]]*145.037)*Table1123457[[#This Row],[b (mm)]]*Table1123457[[#This Row],[d (mm)]]*(1/25.4)^2)</f>
        <v>1.1736719817516768</v>
      </c>
      <c r="W120" s="145">
        <f>Table1123457[[#This Row],[M (KN.mm)]]/$G$124</f>
        <v>0.56636005256241795</v>
      </c>
      <c r="X120" s="111">
        <f t="shared" si="9"/>
        <v>1.1736719817516768</v>
      </c>
      <c r="Y120" s="111">
        <v>810</v>
      </c>
      <c r="Z120" s="111">
        <v>280</v>
      </c>
      <c r="AA120" s="111">
        <v>310</v>
      </c>
      <c r="AB120" s="111">
        <v>122</v>
      </c>
      <c r="AC120" s="7">
        <v>41.9</v>
      </c>
      <c r="AD120" s="135">
        <f>Table1123457[[#This Row],[pho (%)]]/100*Table1123457[[#This Row],[b (mm)]]*Table1123457[[#This Row],[h (mm)]]</f>
        <v>313.90600000000001</v>
      </c>
      <c r="AE120" s="135">
        <v>0.83</v>
      </c>
      <c r="AF120" s="160">
        <v>525</v>
      </c>
      <c r="AG120" s="135">
        <f>(1/3-0.21*(MIN(Table1123457[[#This Row],[b (mm)]],AA120)/MAX(Table1123457[[#This Row],[b (mm)]],AA120))*(MIN(Table1123457[[#This Row],[b (mm)]],AA120)^4/(12*MAX(Table1123457[[#This Row],[b (mm)]],AA120)^4)))*MAX(Table1123457[[#This Row],[b (mm)]],AA120)*MIN(Table1123457[[#This Row],[b (mm)]],AA120)^3</f>
        <v>187544629.45683298</v>
      </c>
      <c r="AH120" s="135">
        <f>Table1123457[[#This Row],[b (mm)]]*AA120^3/12</f>
        <v>302875166.66666669</v>
      </c>
      <c r="AI120" s="111">
        <v>1620</v>
      </c>
      <c r="AK120" s="107"/>
    </row>
    <row r="121" spans="1:37" x14ac:dyDescent="0.25">
      <c r="A121" s="259" t="s">
        <v>160</v>
      </c>
      <c r="B121" s="259">
        <v>5</v>
      </c>
      <c r="C121" s="185">
        <v>120</v>
      </c>
      <c r="D121" s="185">
        <f>Table1123457[[#This Row],[a (mm)]]/Table1123457[[#This Row],[d (mm)]]</f>
        <v>2.8928571428571428</v>
      </c>
      <c r="E121" s="260">
        <v>52.7</v>
      </c>
      <c r="F121" s="137">
        <f>Table1123457[[#This Row],[d (mm)]]</f>
        <v>280</v>
      </c>
      <c r="G121" s="135">
        <f t="shared" si="15"/>
        <v>42687</v>
      </c>
      <c r="H121" s="135">
        <f t="shared" si="16"/>
        <v>5.3514230629999327E-6</v>
      </c>
      <c r="I121" s="135">
        <f>G121/(Table1123457[[#This Row],[b (mm)]]*Z121^2)</f>
        <v>4.4629265640682503E-3</v>
      </c>
      <c r="J121" s="135">
        <f t="shared" si="17"/>
        <v>0.92507870222945976</v>
      </c>
      <c r="K121" s="135">
        <f t="shared" si="18"/>
        <v>8.9490376445617675E-6</v>
      </c>
      <c r="L121" s="135">
        <f>E121/(Table1123457[[#This Row],[b (mm)]]*Z121)</f>
        <v>1.5427400468384076E-3</v>
      </c>
      <c r="M121" s="135">
        <f>Table1123457[[#This Row],[M (KN.mm)]]/(Table1123457[[#This Row],[b (mm)]]*Table1123457[[#This Row],[d (mm)]])</f>
        <v>1.2496194379391101</v>
      </c>
      <c r="N121" s="135">
        <f>Table1123457[[#This Row],[M (KN.mm)]]/(Table1123457[[#This Row],[b (mm)]]*Table1123457[[#This Row],[h (mm)]])</f>
        <v>1.1286885245901639</v>
      </c>
      <c r="O121" s="145">
        <f>Table1123457[[#This Row],[M (KN.mm)]]/(Table1123457[[#This Row],[b (mm)]]*Table1123457[[#This Row],[h (mm)]]*Table1123457[[#This Row],[L(mm)]])</f>
        <v>6.9672131147540989E-4</v>
      </c>
      <c r="P121" s="145">
        <f>Table1123457[[#This Row],[M (KN.mm)]]/(Table1123457[[#This Row],[b (mm)]]*Table1123457[[#This Row],[d (mm)]]*Table1123457[[#This Row],[L(mm)]])</f>
        <v>7.7137002341920371E-4</v>
      </c>
      <c r="Q121" s="145">
        <f>Table1123457[[#This Row],[M (KN.mm)]]/(Table1123457[[#This Row],[b (mm)]]*Table1123457[[#This Row],[h (mm)]]*Table1123457[[#This Row],[L(mm)]]*Table1123457[[#This Row],[fc (Mpa)]])</f>
        <v>1.6628193591298564E-5</v>
      </c>
      <c r="R121" s="145">
        <f>Table1123457[[#This Row],[M (KN.mm)]]/(Table1123457[[#This Row],[b (mm)]]*Table1123457[[#This Row],[h (mm)]]*Table1123457[[#This Row],[L(mm)]]/2)</f>
        <v>1.3934426229508198E-3</v>
      </c>
      <c r="S121" s="145">
        <f>Table1123457[[#This Row],[M (KN.mm)]]/(Table1123457[[#This Row],[a (mm)]]*Table1123457[[#This Row],[b (mm)]]*Table1123457[[#This Row],[h (mm)]]*Table1123457[[#This Row],[L(mm)]]/2)</f>
        <v>1.7202995345071848E-6</v>
      </c>
      <c r="T121" s="111">
        <f>G121/($AL$5*AH121*0.001*Table1123457[[#This Row],[pho (%)]])</f>
        <v>6.4474976662649793E-6</v>
      </c>
      <c r="U121" s="145">
        <f>Table1123457[[#This Row],[M (KN.mm)]]/(Table1123457[[#This Row],[b (mm)]]*Table1123457[[#This Row],[d (mm)]]*Table1123457[[#This Row],[pho (%)]])</f>
        <v>1.505565587878446</v>
      </c>
      <c r="V121" s="145">
        <f>E121*224.8/(2*SQRT(Table1123457[[#This Row],[fc (Mpa)]]*145.037)*Table1123457[[#This Row],[b (mm)]]*Table1123457[[#This Row],[d (mm)]]*(1/25.4)^2)</f>
        <v>1.4350931192184073</v>
      </c>
      <c r="W121" s="145">
        <f>Table1123457[[#This Row],[M (KN.mm)]]/$G$124</f>
        <v>0.69250985545335098</v>
      </c>
      <c r="X121" s="111">
        <f t="shared" si="9"/>
        <v>1.4350931192184073</v>
      </c>
      <c r="Y121" s="111">
        <v>810</v>
      </c>
      <c r="Z121" s="111">
        <v>280</v>
      </c>
      <c r="AA121" s="111">
        <v>310</v>
      </c>
      <c r="AB121" s="111">
        <v>122</v>
      </c>
      <c r="AC121" s="7">
        <v>41.9</v>
      </c>
      <c r="AD121" s="135">
        <f>Table1123457[[#This Row],[pho (%)]]/100*Table1123457[[#This Row],[b (mm)]]*Table1123457[[#This Row],[h (mm)]]</f>
        <v>313.90600000000001</v>
      </c>
      <c r="AE121" s="135">
        <v>0.83</v>
      </c>
      <c r="AF121" s="160">
        <v>525</v>
      </c>
      <c r="AG121" s="135">
        <f>(1/3-0.21*(MIN(Table1123457[[#This Row],[b (mm)]],AA121)/MAX(Table1123457[[#This Row],[b (mm)]],AA121))*(MIN(Table1123457[[#This Row],[b (mm)]],AA121)^4/(12*MAX(Table1123457[[#This Row],[b (mm)]],AA121)^4)))*MAX(Table1123457[[#This Row],[b (mm)]],AA121)*MIN(Table1123457[[#This Row],[b (mm)]],AA121)^3</f>
        <v>187544629.45683298</v>
      </c>
      <c r="AH121" s="135">
        <f>Table1123457[[#This Row],[b (mm)]]*AA121^3/12</f>
        <v>302875166.66666669</v>
      </c>
      <c r="AI121" s="111">
        <v>1620</v>
      </c>
      <c r="AK121" s="107"/>
    </row>
    <row r="122" spans="1:37" x14ac:dyDescent="0.25">
      <c r="A122" s="259" t="s">
        <v>160</v>
      </c>
      <c r="B122" s="259">
        <v>6</v>
      </c>
      <c r="C122" s="185">
        <v>121</v>
      </c>
      <c r="D122" s="185">
        <f>Table1123457[[#This Row],[a (mm)]]/Table1123457[[#This Row],[d (mm)]]</f>
        <v>2.8928571428571428</v>
      </c>
      <c r="E122" s="260">
        <v>62.9</v>
      </c>
      <c r="F122" s="137">
        <f>Table1123457[[#This Row],[d (mm)]]</f>
        <v>280</v>
      </c>
      <c r="G122" s="135">
        <f t="shared" si="15"/>
        <v>50949</v>
      </c>
      <c r="H122" s="135">
        <f t="shared" si="16"/>
        <v>6.3871823655160488E-6</v>
      </c>
      <c r="I122" s="135">
        <f>G122/(Table1123457[[#This Row],[b (mm)]]*Z122^2)</f>
        <v>5.326718802275008E-3</v>
      </c>
      <c r="J122" s="135">
        <f t="shared" si="17"/>
        <v>1.1041261929835489</v>
      </c>
      <c r="K122" s="135">
        <f t="shared" si="18"/>
        <v>1.0681109446735012E-5</v>
      </c>
      <c r="L122" s="135">
        <f>E122/(Table1123457[[#This Row],[b (mm)]]*Z122)</f>
        <v>1.8413348946135831E-3</v>
      </c>
      <c r="M122" s="135">
        <f>Table1123457[[#This Row],[M (KN.mm)]]/(Table1123457[[#This Row],[b (mm)]]*Table1123457[[#This Row],[d (mm)]])</f>
        <v>1.4914812646370024</v>
      </c>
      <c r="N122" s="135">
        <f>Table1123457[[#This Row],[M (KN.mm)]]/(Table1123457[[#This Row],[b (mm)]]*Table1123457[[#This Row],[h (mm)]])</f>
        <v>1.3471443680592279</v>
      </c>
      <c r="O122" s="145">
        <f>Table1123457[[#This Row],[M (KN.mm)]]/(Table1123457[[#This Row],[b (mm)]]*Table1123457[[#This Row],[h (mm)]]*Table1123457[[#This Row],[L(mm)]])</f>
        <v>8.315705975674247E-4</v>
      </c>
      <c r="P122" s="145">
        <f>Table1123457[[#This Row],[M (KN.mm)]]/(Table1123457[[#This Row],[b (mm)]]*Table1123457[[#This Row],[d (mm)]]*Table1123457[[#This Row],[L(mm)]])</f>
        <v>9.2066744730679155E-4</v>
      </c>
      <c r="Q122" s="145">
        <f>Table1123457[[#This Row],[M (KN.mm)]]/(Table1123457[[#This Row],[b (mm)]]*Table1123457[[#This Row],[h (mm)]]*Table1123457[[#This Row],[L(mm)]]*Table1123457[[#This Row],[fc (Mpa)]])</f>
        <v>1.9846553641227318E-5</v>
      </c>
      <c r="R122" s="145">
        <f>Table1123457[[#This Row],[M (KN.mm)]]/(Table1123457[[#This Row],[b (mm)]]*Table1123457[[#This Row],[h (mm)]]*Table1123457[[#This Row],[L(mm)]]/2)</f>
        <v>1.6631411951348494E-3</v>
      </c>
      <c r="S122" s="145">
        <f>Table1123457[[#This Row],[M (KN.mm)]]/(Table1123457[[#This Row],[a (mm)]]*Table1123457[[#This Row],[b (mm)]]*Table1123457[[#This Row],[h (mm)]]*Table1123457[[#This Row],[L(mm)]]/2)</f>
        <v>2.0532607347343818E-6</v>
      </c>
      <c r="T122" s="111">
        <f>G122/($AL$5*AH122*0.001*Table1123457[[#This Row],[pho (%)]])</f>
        <v>7.6954004403807819E-6</v>
      </c>
      <c r="U122" s="145">
        <f>Table1123457[[#This Row],[M (KN.mm)]]/(Table1123457[[#This Row],[b (mm)]]*Table1123457[[#This Row],[d (mm)]]*Table1123457[[#This Row],[pho (%)]])</f>
        <v>1.7969653790807258</v>
      </c>
      <c r="V122" s="145">
        <f>E122*224.8/(2*SQRT(Table1123457[[#This Row],[fc (Mpa)]]*145.037)*Table1123457[[#This Row],[b (mm)]]*Table1123457[[#This Row],[d (mm)]]*(1/25.4)^2)</f>
        <v>1.7128530777768087</v>
      </c>
      <c r="W122" s="145">
        <f>Table1123457[[#This Row],[M (KN.mm)]]/$G$124</f>
        <v>0.82654402102496727</v>
      </c>
      <c r="X122" s="111">
        <f t="shared" si="9"/>
        <v>1.7128530777768087</v>
      </c>
      <c r="Y122" s="111">
        <v>810</v>
      </c>
      <c r="Z122" s="111">
        <v>280</v>
      </c>
      <c r="AA122" s="111">
        <v>310</v>
      </c>
      <c r="AB122" s="111">
        <v>122</v>
      </c>
      <c r="AC122" s="7">
        <v>41.9</v>
      </c>
      <c r="AD122" s="135">
        <f>Table1123457[[#This Row],[pho (%)]]/100*Table1123457[[#This Row],[b (mm)]]*Table1123457[[#This Row],[h (mm)]]</f>
        <v>313.90600000000001</v>
      </c>
      <c r="AE122" s="135">
        <v>0.83</v>
      </c>
      <c r="AF122" s="160">
        <v>525</v>
      </c>
      <c r="AG122" s="135">
        <f>(1/3-0.21*(MIN(Table1123457[[#This Row],[b (mm)]],AA122)/MAX(Table1123457[[#This Row],[b (mm)]],AA122))*(MIN(Table1123457[[#This Row],[b (mm)]],AA122)^4/(12*MAX(Table1123457[[#This Row],[b (mm)]],AA122)^4)))*MAX(Table1123457[[#This Row],[b (mm)]],AA122)*MIN(Table1123457[[#This Row],[b (mm)]],AA122)^3</f>
        <v>187544629.45683298</v>
      </c>
      <c r="AH122" s="135">
        <f>Table1123457[[#This Row],[b (mm)]]*AA122^3/12</f>
        <v>302875166.66666669</v>
      </c>
      <c r="AI122" s="111">
        <v>1620</v>
      </c>
      <c r="AK122" s="107"/>
    </row>
    <row r="123" spans="1:37" x14ac:dyDescent="0.25">
      <c r="A123" s="259" t="s">
        <v>160</v>
      </c>
      <c r="B123" s="259">
        <v>7</v>
      </c>
      <c r="C123" s="185">
        <v>122</v>
      </c>
      <c r="D123" s="185">
        <f>Table1123457[[#This Row],[a (mm)]]/Table1123457[[#This Row],[d (mm)]]</f>
        <v>2.8928571428571428</v>
      </c>
      <c r="E123" s="260">
        <v>69</v>
      </c>
      <c r="F123" s="137">
        <f>Table1123457[[#This Row],[d (mm)]]</f>
        <v>280</v>
      </c>
      <c r="G123" s="135">
        <f t="shared" si="15"/>
        <v>55890</v>
      </c>
      <c r="H123" s="135">
        <f t="shared" si="16"/>
        <v>7.0066070464325496E-6</v>
      </c>
      <c r="I123" s="135">
        <f>G123/(Table1123457[[#This Row],[b (mm)]]*Z123^2)</f>
        <v>5.8433004349280693E-3</v>
      </c>
      <c r="J123" s="135">
        <f t="shared" si="17"/>
        <v>1.2112036139247198</v>
      </c>
      <c r="K123" s="135">
        <f t="shared" si="18"/>
        <v>1.1716956308819012E-5</v>
      </c>
      <c r="L123" s="135">
        <f>E123/(Table1123457[[#This Row],[b (mm)]]*Z123)</f>
        <v>2.0199063231850119E-3</v>
      </c>
      <c r="M123" s="135">
        <f>Table1123457[[#This Row],[M (KN.mm)]]/(Table1123457[[#This Row],[b (mm)]]*Table1123457[[#This Row],[d (mm)]])</f>
        <v>1.6361241217798594</v>
      </c>
      <c r="N123" s="135">
        <f>Table1123457[[#This Row],[M (KN.mm)]]/(Table1123457[[#This Row],[b (mm)]]*Table1123457[[#This Row],[h (mm)]])</f>
        <v>1.4777895293495504</v>
      </c>
      <c r="O123" s="145">
        <f>Table1123457[[#This Row],[M (KN.mm)]]/(Table1123457[[#This Row],[b (mm)]]*Table1123457[[#This Row],[h (mm)]]*Table1123457[[#This Row],[L(mm)]])</f>
        <v>9.1221575885774722E-4</v>
      </c>
      <c r="P123" s="145">
        <f>Table1123457[[#This Row],[M (KN.mm)]]/(Table1123457[[#This Row],[b (mm)]]*Table1123457[[#This Row],[d (mm)]]*Table1123457[[#This Row],[L(mm)]])</f>
        <v>1.0099531615925059E-3</v>
      </c>
      <c r="Q123" s="145">
        <f>Table1123457[[#This Row],[M (KN.mm)]]/(Table1123457[[#This Row],[b (mm)]]*Table1123457[[#This Row],[h (mm)]]*Table1123457[[#This Row],[L(mm)]]*Table1123457[[#This Row],[fc (Mpa)]])</f>
        <v>2.1771259161282751E-5</v>
      </c>
      <c r="R123" s="145">
        <f>Table1123457[[#This Row],[M (KN.mm)]]/(Table1123457[[#This Row],[b (mm)]]*Table1123457[[#This Row],[h (mm)]]*Table1123457[[#This Row],[L(mm)]]/2)</f>
        <v>1.8244315177154944E-3</v>
      </c>
      <c r="S123" s="145">
        <f>Table1123457[[#This Row],[M (KN.mm)]]/(Table1123457[[#This Row],[a (mm)]]*Table1123457[[#This Row],[b (mm)]]*Table1123457[[#This Row],[h (mm)]]*Table1123457[[#This Row],[L(mm)]]/2)</f>
        <v>2.2523845897722155E-6</v>
      </c>
      <c r="T123" s="111">
        <f>G123/($AL$5*AH123*0.001*Table1123457[[#This Row],[pho (%)]])</f>
        <v>8.4416952366657222E-6</v>
      </c>
      <c r="U123" s="145">
        <f>Table1123457[[#This Row],[M (KN.mm)]]/(Table1123457[[#This Row],[b (mm)]]*Table1123457[[#This Row],[d (mm)]]*Table1123457[[#This Row],[pho (%)]])</f>
        <v>1.9712338816624813</v>
      </c>
      <c r="V123" s="145">
        <f>E123*224.8/(2*SQRT(Table1123457[[#This Row],[fc (Mpa)]]*145.037)*Table1123457[[#This Row],[b (mm)]]*Table1123457[[#This Row],[d (mm)]]*(1/25.4)^2)</f>
        <v>1.8789644255421272</v>
      </c>
      <c r="W123" s="145">
        <f>Table1123457[[#This Row],[M (KN.mm)]]/$G$124</f>
        <v>0.90670170827858088</v>
      </c>
      <c r="X123" s="111">
        <f t="shared" si="9"/>
        <v>1.8789644255421272</v>
      </c>
      <c r="Y123" s="111">
        <v>810</v>
      </c>
      <c r="Z123" s="111">
        <v>280</v>
      </c>
      <c r="AA123" s="111">
        <v>310</v>
      </c>
      <c r="AB123" s="111">
        <v>122</v>
      </c>
      <c r="AC123" s="7">
        <v>41.9</v>
      </c>
      <c r="AD123" s="135">
        <f>Table1123457[[#This Row],[pho (%)]]/100*Table1123457[[#This Row],[b (mm)]]*Table1123457[[#This Row],[h (mm)]]</f>
        <v>313.90600000000001</v>
      </c>
      <c r="AE123" s="135">
        <v>0.83</v>
      </c>
      <c r="AF123" s="160">
        <v>525</v>
      </c>
      <c r="AG123" s="135">
        <f>(1/3-0.21*(MIN(Table1123457[[#This Row],[b (mm)]],AA123)/MAX(Table1123457[[#This Row],[b (mm)]],AA123))*(MIN(Table1123457[[#This Row],[b (mm)]],AA123)^4/(12*MAX(Table1123457[[#This Row],[b (mm)]],AA123)^4)))*MAX(Table1123457[[#This Row],[b (mm)]],AA123)*MIN(Table1123457[[#This Row],[b (mm)]],AA123)^3</f>
        <v>187544629.45683298</v>
      </c>
      <c r="AH123" s="135">
        <f>Table1123457[[#This Row],[b (mm)]]*AA123^3/12</f>
        <v>302875166.66666669</v>
      </c>
      <c r="AI123" s="111">
        <v>1620</v>
      </c>
      <c r="AK123" s="107"/>
    </row>
    <row r="124" spans="1:37" x14ac:dyDescent="0.25">
      <c r="A124" s="259" t="s">
        <v>160</v>
      </c>
      <c r="B124" s="259" t="s">
        <v>141</v>
      </c>
      <c r="C124" s="185">
        <v>123</v>
      </c>
      <c r="D124" s="185">
        <f>Table1123457[[#This Row],[a (mm)]]/Table1123457[[#This Row],[d (mm)]]</f>
        <v>2.8928571428571428</v>
      </c>
      <c r="E124" s="260">
        <v>76.099999999999994</v>
      </c>
      <c r="F124" s="137">
        <f>Table1123457[[#This Row],[d (mm)]]</f>
        <v>280</v>
      </c>
      <c r="G124" s="135">
        <f t="shared" si="15"/>
        <v>61640.999999999993</v>
      </c>
      <c r="H124" s="135">
        <f t="shared" si="16"/>
        <v>7.7275767570074918E-6</v>
      </c>
      <c r="I124" s="135">
        <f>G124/(Table1123457[[#This Row],[b (mm)]]*Z124^2)</f>
        <v>6.4445675811308119E-3</v>
      </c>
      <c r="J124" s="135">
        <f t="shared" si="17"/>
        <v>1.3358347104300168</v>
      </c>
      <c r="K124" s="135">
        <f t="shared" si="18"/>
        <v>1.2922614131900386E-5</v>
      </c>
      <c r="L124" s="135">
        <f>E124/(Table1123457[[#This Row],[b (mm)]]*Z124)</f>
        <v>2.2277517564402807E-3</v>
      </c>
      <c r="M124" s="135">
        <f>Table1123457[[#This Row],[M (KN.mm)]]/(Table1123457[[#This Row],[b (mm)]]*Table1123457[[#This Row],[d (mm)]])</f>
        <v>1.8044789227166274</v>
      </c>
      <c r="N124" s="135">
        <f>Table1123457[[#This Row],[M (KN.mm)]]/(Table1123457[[#This Row],[b (mm)]]*Table1123457[[#This Row],[h (mm)]])</f>
        <v>1.6298519301956635</v>
      </c>
      <c r="O124" s="145">
        <f>Table1123457[[#This Row],[M (KN.mm)]]/(Table1123457[[#This Row],[b (mm)]]*Table1123457[[#This Row],[h (mm)]]*Table1123457[[#This Row],[L(mm)]])</f>
        <v>1.0060814383923849E-3</v>
      </c>
      <c r="P124" s="145">
        <f>Table1123457[[#This Row],[M (KN.mm)]]/(Table1123457[[#This Row],[b (mm)]]*Table1123457[[#This Row],[d (mm)]]*Table1123457[[#This Row],[L(mm)]])</f>
        <v>1.1138758782201403E-3</v>
      </c>
      <c r="Q124" s="145">
        <f>Table1123457[[#This Row],[M (KN.mm)]]/(Table1123457[[#This Row],[b (mm)]]*Table1123457[[#This Row],[h (mm)]]*Table1123457[[#This Row],[L(mm)]]*Table1123457[[#This Row],[fc (Mpa)]])</f>
        <v>2.4011490176429233E-5</v>
      </c>
      <c r="R124" s="145">
        <f>Table1123457[[#This Row],[M (KN.mm)]]/(Table1123457[[#This Row],[b (mm)]]*Table1123457[[#This Row],[h (mm)]]*Table1123457[[#This Row],[L(mm)]]/2)</f>
        <v>2.0121628767847699E-3</v>
      </c>
      <c r="S124" s="145">
        <f>Table1123457[[#This Row],[M (KN.mm)]]/(Table1123457[[#This Row],[a (mm)]]*Table1123457[[#This Row],[b (mm)]]*Table1123457[[#This Row],[h (mm)]]*Table1123457[[#This Row],[L(mm)]]/2)</f>
        <v>2.4841516997342836E-6</v>
      </c>
      <c r="T124" s="111">
        <f>G124/($AL$5*AH124*0.001*Table1123457[[#This Row],[pho (%)]])</f>
        <v>9.3103334421777003E-6</v>
      </c>
      <c r="U124" s="145">
        <f>Table1123457[[#This Row],[M (KN.mm)]]/(Table1123457[[#This Row],[b (mm)]]*Table1123457[[#This Row],[d (mm)]]*Table1123457[[#This Row],[pho (%)]])</f>
        <v>2.1740709912248524</v>
      </c>
      <c r="V124" s="145">
        <f>E124*224.8/(2*SQRT(Table1123457[[#This Row],[fc (Mpa)]]*145.037)*Table1123457[[#This Row],[b (mm)]]*Table1123457[[#This Row],[d (mm)]]*(1/25.4)^2)</f>
        <v>2.0723071417935635</v>
      </c>
      <c r="W124" s="145">
        <f>Table1123457[[#This Row],[M (KN.mm)]]/$G$124</f>
        <v>1</v>
      </c>
      <c r="X124" s="111">
        <f t="shared" si="9"/>
        <v>2.0723071417935635</v>
      </c>
      <c r="Y124" s="111">
        <v>810</v>
      </c>
      <c r="Z124" s="111">
        <v>280</v>
      </c>
      <c r="AA124" s="111">
        <v>310</v>
      </c>
      <c r="AB124" s="111">
        <v>122</v>
      </c>
      <c r="AC124" s="7">
        <v>41.9</v>
      </c>
      <c r="AD124" s="135">
        <f>Table1123457[[#This Row],[pho (%)]]/100*Table1123457[[#This Row],[b (mm)]]*Table1123457[[#This Row],[h (mm)]]</f>
        <v>313.90600000000001</v>
      </c>
      <c r="AE124" s="135">
        <v>0.83</v>
      </c>
      <c r="AF124" s="160">
        <v>525</v>
      </c>
      <c r="AG124" s="135">
        <f>(1/3-0.21*(MIN(Table1123457[[#This Row],[b (mm)]],AA124)/MAX(Table1123457[[#This Row],[b (mm)]],AA124))*(MIN(Table1123457[[#This Row],[b (mm)]],AA124)^4/(12*MAX(Table1123457[[#This Row],[b (mm)]],AA124)^4)))*MAX(Table1123457[[#This Row],[b (mm)]],AA124)*MIN(Table1123457[[#This Row],[b (mm)]],AA124)^3</f>
        <v>187544629.45683298</v>
      </c>
      <c r="AH124" s="135">
        <f>Table1123457[[#This Row],[b (mm)]]*AA124^3/12</f>
        <v>302875166.66666669</v>
      </c>
      <c r="AI124" s="111">
        <v>1620</v>
      </c>
      <c r="AK124" s="107"/>
    </row>
    <row r="125" spans="1:37" x14ac:dyDescent="0.25">
      <c r="A125" s="261" t="s">
        <v>161</v>
      </c>
      <c r="B125" s="261">
        <v>1</v>
      </c>
      <c r="C125" s="185">
        <v>124</v>
      </c>
      <c r="D125" s="185">
        <f>Table1123457[[#This Row],[a (mm)]]/Table1123457[[#This Row],[d (mm)]]</f>
        <v>2.8928571428571428</v>
      </c>
      <c r="E125" s="262">
        <v>24.9</v>
      </c>
      <c r="F125" s="137">
        <f>Table1123457[[#This Row],[d (mm)]]</f>
        <v>280</v>
      </c>
      <c r="G125" s="135">
        <f t="shared" si="15"/>
        <v>20169</v>
      </c>
      <c r="H125" s="135">
        <f t="shared" si="16"/>
        <v>2.5284712384952242E-6</v>
      </c>
      <c r="I125" s="135">
        <f>G125/(Table1123457[[#This Row],[b (mm)]]*Z125^2)</f>
        <v>2.108669287387086E-3</v>
      </c>
      <c r="J125" s="135">
        <f t="shared" si="17"/>
        <v>0.43708652154674665</v>
      </c>
      <c r="K125" s="135">
        <f t="shared" si="18"/>
        <v>4.2282929288346862E-6</v>
      </c>
      <c r="L125" s="135">
        <f>E125/(Table1123457[[#This Row],[b (mm)]]*Z125)</f>
        <v>7.2892271662763463E-4</v>
      </c>
      <c r="M125" s="135">
        <f>Table1123457[[#This Row],[M (KN.mm)]]/(Table1123457[[#This Row],[b (mm)]]*Table1123457[[#This Row],[d (mm)]])</f>
        <v>0.59042740046838404</v>
      </c>
      <c r="N125" s="135">
        <f>Table1123457[[#This Row],[M (KN.mm)]]/(Table1123457[[#This Row],[b (mm)]]*Table1123457[[#This Row],[h (mm)]])</f>
        <v>0.5332892649391856</v>
      </c>
      <c r="O125" s="145">
        <f>Table1123457[[#This Row],[M (KN.mm)]]/(Table1123457[[#This Row],[b (mm)]]*Table1123457[[#This Row],[h (mm)]]*Table1123457[[#This Row],[L(mm)]])</f>
        <v>3.2919090428344791E-4</v>
      </c>
      <c r="P125" s="145">
        <f>Table1123457[[#This Row],[M (KN.mm)]]/(Table1123457[[#This Row],[b (mm)]]*Table1123457[[#This Row],[d (mm)]]*Table1123457[[#This Row],[L(mm)]])</f>
        <v>3.6446135831381732E-4</v>
      </c>
      <c r="Q125" s="145">
        <f>Table1123457[[#This Row],[M (KN.mm)]]/(Table1123457[[#This Row],[b (mm)]]*Table1123457[[#This Row],[h (mm)]]*Table1123457[[#This Row],[L(mm)]]*Table1123457[[#This Row],[fc (Mpa)]])</f>
        <v>8.3977271500879564E-6</v>
      </c>
      <c r="R125" s="145">
        <f>Table1123457[[#This Row],[M (KN.mm)]]/(Table1123457[[#This Row],[b (mm)]]*Table1123457[[#This Row],[h (mm)]]*Table1123457[[#This Row],[L(mm)]]/2)</f>
        <v>6.5838180856689582E-4</v>
      </c>
      <c r="S125" s="145">
        <f>Table1123457[[#This Row],[M (KN.mm)]]/(Table1123457[[#This Row],[a (mm)]]*Table1123457[[#This Row],[b (mm)]]*Table1123457[[#This Row],[h (mm)]]*Table1123457[[#This Row],[L(mm)]]/2)</f>
        <v>8.1281704761345162E-7</v>
      </c>
      <c r="T125" s="111">
        <f>G125/($AL$5*AH125*0.001*Table1123457[[#This Row],[pho (%)]])</f>
        <v>3.0463508897532823E-6</v>
      </c>
      <c r="U125" s="145">
        <f>Table1123457[[#This Row],[M (KN.mm)]]/(Table1123457[[#This Row],[b (mm)]]*Table1123457[[#This Row],[d (mm)]]*Table1123457[[#This Row],[pho (%)]])</f>
        <v>0.71135831381733028</v>
      </c>
      <c r="V125" s="145">
        <f>E125*224.8/(2*SQRT(Table1123457[[#This Row],[fc (Mpa)]]*145.037)*Table1123457[[#This Row],[b (mm)]]*Table1123457[[#This Row],[d (mm)]]*(1/25.4)^2)</f>
        <v>0.70102384736315582</v>
      </c>
      <c r="W125" s="145">
        <f>Table1123457[[#This Row],[M (KN.mm)]]/$G$130</f>
        <v>0.32046332046332049</v>
      </c>
      <c r="X125" s="111">
        <f t="shared" si="9"/>
        <v>0.70102384736315582</v>
      </c>
      <c r="Y125" s="111">
        <v>810</v>
      </c>
      <c r="Z125" s="111">
        <v>280</v>
      </c>
      <c r="AA125" s="111">
        <v>310</v>
      </c>
      <c r="AB125" s="111">
        <v>122</v>
      </c>
      <c r="AC125" s="7">
        <v>39.200000000000003</v>
      </c>
      <c r="AD125" s="135">
        <f>Table1123457[[#This Row],[pho (%)]]/100*Table1123457[[#This Row],[b (mm)]]*Table1123457[[#This Row],[h (mm)]]</f>
        <v>313.90600000000001</v>
      </c>
      <c r="AE125" s="135">
        <v>0.83</v>
      </c>
      <c r="AF125" s="160">
        <v>525</v>
      </c>
      <c r="AG125" s="135">
        <f>(1/3-0.21*(MIN(Table1123457[[#This Row],[b (mm)]],AA125)/MAX(Table1123457[[#This Row],[b (mm)]],AA125))*(MIN(Table1123457[[#This Row],[b (mm)]],AA125)^4/(12*MAX(Table1123457[[#This Row],[b (mm)]],AA125)^4)))*MAX(Table1123457[[#This Row],[b (mm)]],AA125)*MIN(Table1123457[[#This Row],[b (mm)]],AA125)^3</f>
        <v>187544629.45683298</v>
      </c>
      <c r="AH125" s="135">
        <f>Table1123457[[#This Row],[b (mm)]]*AA125^3/12</f>
        <v>302875166.66666669</v>
      </c>
      <c r="AI125" s="111">
        <v>1620</v>
      </c>
      <c r="AK125" s="107"/>
    </row>
    <row r="126" spans="1:37" x14ac:dyDescent="0.25">
      <c r="A126" s="261" t="s">
        <v>161</v>
      </c>
      <c r="B126" s="261">
        <v>2</v>
      </c>
      <c r="C126" s="185">
        <v>125</v>
      </c>
      <c r="D126" s="185">
        <f>Table1123457[[#This Row],[a (mm)]]/Table1123457[[#This Row],[d (mm)]]</f>
        <v>2.8928571428571428</v>
      </c>
      <c r="E126" s="262">
        <v>23.7</v>
      </c>
      <c r="F126" s="137">
        <f>Table1123457[[#This Row],[d (mm)]]</f>
        <v>280</v>
      </c>
      <c r="G126" s="135">
        <f t="shared" si="15"/>
        <v>19197</v>
      </c>
      <c r="H126" s="135">
        <f t="shared" si="16"/>
        <v>2.4066172029050931E-6</v>
      </c>
      <c r="I126" s="135">
        <f>G126/(Table1123457[[#This Row],[b (mm)]]*Z126^2)</f>
        <v>2.0070466711274676E-3</v>
      </c>
      <c r="J126" s="135">
        <f t="shared" si="17"/>
        <v>0.41602211086979501</v>
      </c>
      <c r="K126" s="135">
        <f t="shared" si="18"/>
        <v>4.024519775637834E-6</v>
      </c>
      <c r="L126" s="135">
        <f>E126/(Table1123457[[#This Row],[b (mm)]]*Z126)</f>
        <v>6.9379391100702573E-4</v>
      </c>
      <c r="M126" s="135">
        <f>Table1123457[[#This Row],[M (KN.mm)]]/(Table1123457[[#This Row],[b (mm)]]*Table1123457[[#This Row],[d (mm)]])</f>
        <v>0.5619730679156909</v>
      </c>
      <c r="N126" s="135">
        <f>Table1123457[[#This Row],[M (KN.mm)]]/(Table1123457[[#This Row],[b (mm)]]*Table1123457[[#This Row],[h (mm)]])</f>
        <v>0.50758857747223696</v>
      </c>
      <c r="O126" s="145">
        <f>Table1123457[[#This Row],[M (KN.mm)]]/(Table1123457[[#This Row],[b (mm)]]*Table1123457[[#This Row],[h (mm)]]*Table1123457[[#This Row],[L(mm)]])</f>
        <v>3.133262823902697E-4</v>
      </c>
      <c r="P126" s="145">
        <f>Table1123457[[#This Row],[M (KN.mm)]]/(Table1123457[[#This Row],[b (mm)]]*Table1123457[[#This Row],[d (mm)]]*Table1123457[[#This Row],[L(mm)]])</f>
        <v>3.4689695550351287E-4</v>
      </c>
      <c r="Q126" s="145">
        <f>Table1123457[[#This Row],[M (KN.mm)]]/(Table1123457[[#This Row],[b (mm)]]*Table1123457[[#This Row],[h (mm)]]*Table1123457[[#This Row],[L(mm)]]*Table1123457[[#This Row],[fc (Mpa)]])</f>
        <v>7.9930174079150426E-6</v>
      </c>
      <c r="R126" s="145">
        <f>Table1123457[[#This Row],[M (KN.mm)]]/(Table1123457[[#This Row],[b (mm)]]*Table1123457[[#This Row],[h (mm)]]*Table1123457[[#This Row],[L(mm)]]/2)</f>
        <v>6.266525647805394E-4</v>
      </c>
      <c r="S126" s="145">
        <f>Table1123457[[#This Row],[M (KN.mm)]]/(Table1123457[[#This Row],[a (mm)]]*Table1123457[[#This Row],[b (mm)]]*Table1123457[[#This Row],[h (mm)]]*Table1123457[[#This Row],[L(mm)]]/2)</f>
        <v>7.7364514170436967E-7</v>
      </c>
      <c r="T126" s="111">
        <f>G126/($AL$5*AH126*0.001*Table1123457[[#This Row],[pho (%)]])</f>
        <v>2.8995387986808348E-6</v>
      </c>
      <c r="U126" s="145">
        <f>Table1123457[[#This Row],[M (KN.mm)]]/(Table1123457[[#This Row],[b (mm)]]*Table1123457[[#This Row],[d (mm)]]*Table1123457[[#This Row],[pho (%)]])</f>
        <v>0.67707598544059144</v>
      </c>
      <c r="V126" s="145">
        <f>E126*224.8/(2*SQRT(Table1123457[[#This Row],[fc (Mpa)]]*145.037)*Table1123457[[#This Row],[b (mm)]]*Table1123457[[#This Row],[d (mm)]]*(1/25.4)^2)</f>
        <v>0.66723956556252184</v>
      </c>
      <c r="W126" s="145">
        <f>Table1123457[[#This Row],[M (KN.mm)]]/$G$130</f>
        <v>0.30501930501930502</v>
      </c>
      <c r="X126" s="111">
        <f t="shared" si="9"/>
        <v>0.66723956556252184</v>
      </c>
      <c r="Y126" s="111">
        <v>810</v>
      </c>
      <c r="Z126" s="111">
        <v>280</v>
      </c>
      <c r="AA126" s="111">
        <v>310</v>
      </c>
      <c r="AB126" s="111">
        <v>122</v>
      </c>
      <c r="AC126" s="7">
        <v>39.200000000000003</v>
      </c>
      <c r="AD126" s="135">
        <f>Table1123457[[#This Row],[pho (%)]]/100*Table1123457[[#This Row],[b (mm)]]*Table1123457[[#This Row],[h (mm)]]</f>
        <v>313.90600000000001</v>
      </c>
      <c r="AE126" s="135">
        <v>0.83</v>
      </c>
      <c r="AF126" s="160">
        <v>525</v>
      </c>
      <c r="AG126" s="135">
        <f>(1/3-0.21*(MIN(Table1123457[[#This Row],[b (mm)]],AA126)/MAX(Table1123457[[#This Row],[b (mm)]],AA126))*(MIN(Table1123457[[#This Row],[b (mm)]],AA126)^4/(12*MAX(Table1123457[[#This Row],[b (mm)]],AA126)^4)))*MAX(Table1123457[[#This Row],[b (mm)]],AA126)*MIN(Table1123457[[#This Row],[b (mm)]],AA126)^3</f>
        <v>187544629.45683298</v>
      </c>
      <c r="AH126" s="135">
        <f>Table1123457[[#This Row],[b (mm)]]*AA126^3/12</f>
        <v>302875166.66666669</v>
      </c>
      <c r="AI126" s="111">
        <v>1620</v>
      </c>
      <c r="AK126" s="107"/>
    </row>
    <row r="127" spans="1:37" x14ac:dyDescent="0.25">
      <c r="A127" s="261" t="s">
        <v>161</v>
      </c>
      <c r="B127" s="261">
        <v>3</v>
      </c>
      <c r="C127" s="185">
        <v>126</v>
      </c>
      <c r="D127" s="185">
        <f>Table1123457[[#This Row],[a (mm)]]/Table1123457[[#This Row],[d (mm)]]</f>
        <v>2.8928571428571428</v>
      </c>
      <c r="E127" s="262">
        <v>55.5</v>
      </c>
      <c r="F127" s="137">
        <f>Table1123457[[#This Row],[d (mm)]]</f>
        <v>280</v>
      </c>
      <c r="G127" s="135">
        <f t="shared" si="15"/>
        <v>44955</v>
      </c>
      <c r="H127" s="135">
        <f t="shared" si="16"/>
        <v>5.6357491460435725E-6</v>
      </c>
      <c r="I127" s="135">
        <f>G127/(Table1123457[[#This Row],[b (mm)]]*Z127^2)</f>
        <v>4.7000460020073607E-3</v>
      </c>
      <c r="J127" s="135">
        <f t="shared" si="17"/>
        <v>0.97422899380901362</v>
      </c>
      <c r="K127" s="135">
        <f t="shared" si="18"/>
        <v>9.4245083353544227E-6</v>
      </c>
      <c r="L127" s="135">
        <f>E127/(Table1123457[[#This Row],[b (mm)]]*Z127)</f>
        <v>1.6247072599531616E-3</v>
      </c>
      <c r="M127" s="135">
        <f>Table1123457[[#This Row],[M (KN.mm)]]/(Table1123457[[#This Row],[b (mm)]]*Table1123457[[#This Row],[d (mm)]])</f>
        <v>1.3160128805620608</v>
      </c>
      <c r="N127" s="135">
        <f>Table1123457[[#This Row],[M (KN.mm)]]/(Table1123457[[#This Row],[b (mm)]]*Table1123457[[#This Row],[h (mm)]])</f>
        <v>1.1886567953463776</v>
      </c>
      <c r="O127" s="145">
        <f>Table1123457[[#This Row],[M (KN.mm)]]/(Table1123457[[#This Row],[b (mm)]]*Table1123457[[#This Row],[h (mm)]]*Table1123457[[#This Row],[L(mm)]])</f>
        <v>7.3373876255949239E-4</v>
      </c>
      <c r="P127" s="145">
        <f>Table1123457[[#This Row],[M (KN.mm)]]/(Table1123457[[#This Row],[b (mm)]]*Table1123457[[#This Row],[d (mm)]]*Table1123457[[#This Row],[L(mm)]])</f>
        <v>8.1235362997658081E-4</v>
      </c>
      <c r="Q127" s="145">
        <f>Table1123457[[#This Row],[M (KN.mm)]]/(Table1123457[[#This Row],[b (mm)]]*Table1123457[[#This Row],[h (mm)]]*Table1123457[[#This Row],[L(mm)]]*Table1123457[[#This Row],[fc (Mpa)]])</f>
        <v>1.8717825575497255E-5</v>
      </c>
      <c r="R127" s="145">
        <f>Table1123457[[#This Row],[M (KN.mm)]]/(Table1123457[[#This Row],[b (mm)]]*Table1123457[[#This Row],[h (mm)]]*Table1123457[[#This Row],[L(mm)]]/2)</f>
        <v>1.4674775251189848E-3</v>
      </c>
      <c r="S127" s="145">
        <f>Table1123457[[#This Row],[M (KN.mm)]]/(Table1123457[[#This Row],[a (mm)]]*Table1123457[[#This Row],[b (mm)]]*Table1123457[[#This Row],[h (mm)]]*Table1123457[[#This Row],[L(mm)]]/2)</f>
        <v>1.8117006482950427E-6</v>
      </c>
      <c r="T127" s="111">
        <f>G127/($AL$5*AH127*0.001*Table1123457[[#This Row],[pho (%)]])</f>
        <v>6.7900592121006896E-6</v>
      </c>
      <c r="U127" s="145">
        <f>Table1123457[[#This Row],[M (KN.mm)]]/(Table1123457[[#This Row],[b (mm)]]*Table1123457[[#This Row],[d (mm)]]*Table1123457[[#This Row],[pho (%)]])</f>
        <v>1.5855576874241697</v>
      </c>
      <c r="V127" s="145">
        <f>E127*224.8/(2*SQRT(Table1123457[[#This Row],[fc (Mpa)]]*145.037)*Table1123457[[#This Row],[b (mm)]]*Table1123457[[#This Row],[d (mm)]]*(1/25.4)^2)</f>
        <v>1.5625230332793234</v>
      </c>
      <c r="W127" s="145">
        <f>Table1123457[[#This Row],[M (KN.mm)]]/$G$130</f>
        <v>0.7142857142857143</v>
      </c>
      <c r="X127" s="111">
        <f t="shared" si="9"/>
        <v>1.5625230332793234</v>
      </c>
      <c r="Y127" s="111">
        <v>810</v>
      </c>
      <c r="Z127" s="111">
        <v>280</v>
      </c>
      <c r="AA127" s="111">
        <v>310</v>
      </c>
      <c r="AB127" s="111">
        <v>122</v>
      </c>
      <c r="AC127" s="7">
        <v>39.200000000000003</v>
      </c>
      <c r="AD127" s="135">
        <f>Table1123457[[#This Row],[pho (%)]]/100*Table1123457[[#This Row],[b (mm)]]*Table1123457[[#This Row],[h (mm)]]</f>
        <v>313.90600000000001</v>
      </c>
      <c r="AE127" s="135">
        <v>0.83</v>
      </c>
      <c r="AF127" s="160">
        <v>525</v>
      </c>
      <c r="AG127" s="135">
        <f>(1/3-0.21*(MIN(Table1123457[[#This Row],[b (mm)]],AA127)/MAX(Table1123457[[#This Row],[b (mm)]],AA127))*(MIN(Table1123457[[#This Row],[b (mm)]],AA127)^4/(12*MAX(Table1123457[[#This Row],[b (mm)]],AA127)^4)))*MAX(Table1123457[[#This Row],[b (mm)]],AA127)*MIN(Table1123457[[#This Row],[b (mm)]],AA127)^3</f>
        <v>187544629.45683298</v>
      </c>
      <c r="AH127" s="135">
        <f>Table1123457[[#This Row],[b (mm)]]*AA127^3/12</f>
        <v>302875166.66666669</v>
      </c>
      <c r="AI127" s="111">
        <v>1620</v>
      </c>
      <c r="AK127" s="107"/>
    </row>
    <row r="128" spans="1:37" x14ac:dyDescent="0.25">
      <c r="A128" s="261" t="s">
        <v>161</v>
      </c>
      <c r="B128" s="261">
        <v>4</v>
      </c>
      <c r="C128" s="185">
        <v>127</v>
      </c>
      <c r="D128" s="185">
        <f>Table1123457[[#This Row],[a (mm)]]/Table1123457[[#This Row],[d (mm)]]</f>
        <v>2.8928571428571428</v>
      </c>
      <c r="E128" s="262">
        <v>65</v>
      </c>
      <c r="F128" s="137">
        <f>Table1123457[[#This Row],[d (mm)]]</f>
        <v>280</v>
      </c>
      <c r="G128" s="135">
        <f t="shared" si="15"/>
        <v>52650</v>
      </c>
      <c r="H128" s="135">
        <f t="shared" si="16"/>
        <v>6.6004269277987786E-6</v>
      </c>
      <c r="I128" s="135">
        <f>G128/(Table1123457[[#This Row],[b (mm)]]*Z128^2)</f>
        <v>5.504558380729341E-3</v>
      </c>
      <c r="J128" s="135">
        <f t="shared" si="17"/>
        <v>1.1409889116682141</v>
      </c>
      <c r="K128" s="135">
        <f t="shared" si="18"/>
        <v>1.1037712464829503E-5</v>
      </c>
      <c r="L128" s="135">
        <f>E128/(Table1123457[[#This Row],[b (mm)]]*Z128)</f>
        <v>1.9028103044496487E-3</v>
      </c>
      <c r="M128" s="135">
        <f>Table1123457[[#This Row],[M (KN.mm)]]/(Table1123457[[#This Row],[b (mm)]]*Table1123457[[#This Row],[d (mm)]])</f>
        <v>1.5412763466042154</v>
      </c>
      <c r="N128" s="135">
        <f>Table1123457[[#This Row],[M (KN.mm)]]/(Table1123457[[#This Row],[b (mm)]]*Table1123457[[#This Row],[h (mm)]])</f>
        <v>1.3921205711263882</v>
      </c>
      <c r="O128" s="145">
        <f>Table1123457[[#This Row],[M (KN.mm)]]/(Table1123457[[#This Row],[b (mm)]]*Table1123457[[#This Row],[h (mm)]]*Table1123457[[#This Row],[L(mm)]])</f>
        <v>8.5933368588048651E-4</v>
      </c>
      <c r="P128" s="145">
        <f>Table1123457[[#This Row],[M (KN.mm)]]/(Table1123457[[#This Row],[b (mm)]]*Table1123457[[#This Row],[d (mm)]]*Table1123457[[#This Row],[L(mm)]])</f>
        <v>9.5140515222482433E-4</v>
      </c>
      <c r="Q128" s="145">
        <f>Table1123457[[#This Row],[M (KN.mm)]]/(Table1123457[[#This Row],[b (mm)]]*Table1123457[[#This Row],[h (mm)]]*Table1123457[[#This Row],[L(mm)]]*Table1123457[[#This Row],[fc (Mpa)]])</f>
        <v>2.192177770103282E-5</v>
      </c>
      <c r="R128" s="145">
        <f>Table1123457[[#This Row],[M (KN.mm)]]/(Table1123457[[#This Row],[b (mm)]]*Table1123457[[#This Row],[h (mm)]]*Table1123457[[#This Row],[L(mm)]]/2)</f>
        <v>1.718667371760973E-3</v>
      </c>
      <c r="S128" s="145">
        <f>Table1123457[[#This Row],[M (KN.mm)]]/(Table1123457[[#This Row],[a (mm)]]*Table1123457[[#This Row],[b (mm)]]*Table1123457[[#This Row],[h (mm)]]*Table1123457[[#This Row],[L(mm)]]/2)</f>
        <v>2.1218115700752754E-6</v>
      </c>
      <c r="T128" s="111">
        <f>G128/($AL$5*AH128*0.001*Table1123457[[#This Row],[pho (%)]])</f>
        <v>7.9523215997575644E-6</v>
      </c>
      <c r="U128" s="145">
        <f>Table1123457[[#This Row],[M (KN.mm)]]/(Table1123457[[#This Row],[b (mm)]]*Table1123457[[#This Row],[d (mm)]]*Table1123457[[#This Row],[pho (%)]])</f>
        <v>1.8569594537400187</v>
      </c>
      <c r="V128" s="145">
        <f>E128*224.8/(2*SQRT(Table1123457[[#This Row],[fc (Mpa)]]*145.037)*Table1123457[[#This Row],[b (mm)]]*Table1123457[[#This Row],[d (mm)]]*(1/25.4)^2)</f>
        <v>1.8299819308676759</v>
      </c>
      <c r="W128" s="145">
        <f>Table1123457[[#This Row],[M (KN.mm)]]/$G$130</f>
        <v>0.83655083655083651</v>
      </c>
      <c r="X128" s="111">
        <f t="shared" si="9"/>
        <v>1.8299819308676759</v>
      </c>
      <c r="Y128" s="111">
        <v>810</v>
      </c>
      <c r="Z128" s="111">
        <v>280</v>
      </c>
      <c r="AA128" s="111">
        <v>310</v>
      </c>
      <c r="AB128" s="111">
        <v>122</v>
      </c>
      <c r="AC128" s="7">
        <v>39.200000000000003</v>
      </c>
      <c r="AD128" s="135">
        <f>Table1123457[[#This Row],[pho (%)]]/100*Table1123457[[#This Row],[b (mm)]]*Table1123457[[#This Row],[h (mm)]]</f>
        <v>313.90600000000001</v>
      </c>
      <c r="AE128" s="135">
        <v>0.83</v>
      </c>
      <c r="AF128" s="160">
        <v>525</v>
      </c>
      <c r="AG128" s="135">
        <f>(1/3-0.21*(MIN(Table1123457[[#This Row],[b (mm)]],AA128)/MAX(Table1123457[[#This Row],[b (mm)]],AA128))*(MIN(Table1123457[[#This Row],[b (mm)]],AA128)^4/(12*MAX(Table1123457[[#This Row],[b (mm)]],AA128)^4)))*MAX(Table1123457[[#This Row],[b (mm)]],AA128)*MIN(Table1123457[[#This Row],[b (mm)]],AA128)^3</f>
        <v>187544629.45683298</v>
      </c>
      <c r="AH128" s="135">
        <f>Table1123457[[#This Row],[b (mm)]]*AA128^3/12</f>
        <v>302875166.66666669</v>
      </c>
      <c r="AI128" s="111">
        <v>1620</v>
      </c>
      <c r="AK128" s="107"/>
    </row>
    <row r="129" spans="1:37" x14ac:dyDescent="0.25">
      <c r="A129" s="261" t="s">
        <v>161</v>
      </c>
      <c r="B129" s="261">
        <v>5</v>
      </c>
      <c r="C129" s="185">
        <v>128</v>
      </c>
      <c r="D129" s="185">
        <f>Table1123457[[#This Row],[a (mm)]]/Table1123457[[#This Row],[d (mm)]]</f>
        <v>2.8928571428571428</v>
      </c>
      <c r="E129" s="262">
        <v>75</v>
      </c>
      <c r="F129" s="137">
        <f>Table1123457[[#This Row],[d (mm)]]</f>
        <v>280</v>
      </c>
      <c r="G129" s="135">
        <f t="shared" si="15"/>
        <v>60750</v>
      </c>
      <c r="H129" s="135">
        <f t="shared" si="16"/>
        <v>7.6158772243832059E-6</v>
      </c>
      <c r="I129" s="135">
        <f>G129/(Table1123457[[#This Row],[b (mm)]]*Z129^2)</f>
        <v>6.3514135162261627E-3</v>
      </c>
      <c r="J129" s="135">
        <f t="shared" si="17"/>
        <v>1.3165256673094778</v>
      </c>
      <c r="K129" s="135">
        <f t="shared" si="18"/>
        <v>1.2735822074803273E-5</v>
      </c>
      <c r="L129" s="135">
        <f>E129/(Table1123457[[#This Row],[b (mm)]]*Z129)</f>
        <v>2.195550351288056E-3</v>
      </c>
      <c r="M129" s="135">
        <f>Table1123457[[#This Row],[M (KN.mm)]]/(Table1123457[[#This Row],[b (mm)]]*Table1123457[[#This Row],[d (mm)]])</f>
        <v>1.7783957845433256</v>
      </c>
      <c r="N129" s="135">
        <f>Table1123457[[#This Row],[M (KN.mm)]]/(Table1123457[[#This Row],[b (mm)]]*Table1123457[[#This Row],[h (mm)]])</f>
        <v>1.606292966684294</v>
      </c>
      <c r="O129" s="145">
        <f>Table1123457[[#This Row],[M (KN.mm)]]/(Table1123457[[#This Row],[b (mm)]]*Table1123457[[#This Row],[h (mm)]]*Table1123457[[#This Row],[L(mm)]])</f>
        <v>9.9153886832363839E-4</v>
      </c>
      <c r="P129" s="145">
        <f>Table1123457[[#This Row],[M (KN.mm)]]/(Table1123457[[#This Row],[b (mm)]]*Table1123457[[#This Row],[d (mm)]]*Table1123457[[#This Row],[L(mm)]])</f>
        <v>1.097775175644028E-3</v>
      </c>
      <c r="Q129" s="145">
        <f>Table1123457[[#This Row],[M (KN.mm)]]/(Table1123457[[#This Row],[b (mm)]]*Table1123457[[#This Row],[h (mm)]]*Table1123457[[#This Row],[L(mm)]]*Table1123457[[#This Row],[fc (Mpa)]])</f>
        <v>2.5294358885807098E-5</v>
      </c>
      <c r="R129" s="145">
        <f>Table1123457[[#This Row],[M (KN.mm)]]/(Table1123457[[#This Row],[b (mm)]]*Table1123457[[#This Row],[h (mm)]]*Table1123457[[#This Row],[L(mm)]]/2)</f>
        <v>1.9830777366472768E-3</v>
      </c>
      <c r="S129" s="145">
        <f>Table1123457[[#This Row],[M (KN.mm)]]/(Table1123457[[#This Row],[a (mm)]]*Table1123457[[#This Row],[b (mm)]]*Table1123457[[#This Row],[h (mm)]]*Table1123457[[#This Row],[L(mm)]]/2)</f>
        <v>2.4482441193176253E-6</v>
      </c>
      <c r="T129" s="111">
        <f>G129/($AL$5*AH129*0.001*Table1123457[[#This Row],[pho (%)]])</f>
        <v>9.175755692027959E-6</v>
      </c>
      <c r="U129" s="145">
        <f>Table1123457[[#This Row],[M (KN.mm)]]/(Table1123457[[#This Row],[b (mm)]]*Table1123457[[#This Row],[d (mm)]]*Table1123457[[#This Row],[pho (%)]])</f>
        <v>2.1426455235461752</v>
      </c>
      <c r="V129" s="145">
        <f>E129*224.8/(2*SQRT(Table1123457[[#This Row],[fc (Mpa)]]*145.037)*Table1123457[[#This Row],[b (mm)]]*Table1123457[[#This Row],[d (mm)]]*(1/25.4)^2)</f>
        <v>2.1115176125396262</v>
      </c>
      <c r="W129" s="145">
        <f>Table1123457[[#This Row],[M (KN.mm)]]/$G$130</f>
        <v>0.96525096525096521</v>
      </c>
      <c r="X129" s="111">
        <f t="shared" si="9"/>
        <v>2.1115176125396262</v>
      </c>
      <c r="Y129" s="111">
        <v>810</v>
      </c>
      <c r="Z129" s="111">
        <v>280</v>
      </c>
      <c r="AA129" s="111">
        <v>310</v>
      </c>
      <c r="AB129" s="111">
        <v>122</v>
      </c>
      <c r="AC129" s="7">
        <v>39.200000000000003</v>
      </c>
      <c r="AD129" s="135">
        <f>Table1123457[[#This Row],[pho (%)]]/100*Table1123457[[#This Row],[b (mm)]]*Table1123457[[#This Row],[h (mm)]]</f>
        <v>313.90600000000001</v>
      </c>
      <c r="AE129" s="135">
        <v>0.83</v>
      </c>
      <c r="AF129" s="160">
        <v>525</v>
      </c>
      <c r="AG129" s="135">
        <f>(1/3-0.21*(MIN(Table1123457[[#This Row],[b (mm)]],AA129)/MAX(Table1123457[[#This Row],[b (mm)]],AA129))*(MIN(Table1123457[[#This Row],[b (mm)]],AA129)^4/(12*MAX(Table1123457[[#This Row],[b (mm)]],AA129)^4)))*MAX(Table1123457[[#This Row],[b (mm)]],AA129)*MIN(Table1123457[[#This Row],[b (mm)]],AA129)^3</f>
        <v>187544629.45683298</v>
      </c>
      <c r="AH129" s="135">
        <f>Table1123457[[#This Row],[b (mm)]]*AA129^3/12</f>
        <v>302875166.66666669</v>
      </c>
      <c r="AI129" s="111">
        <v>1620</v>
      </c>
      <c r="AK129" s="107"/>
    </row>
    <row r="130" spans="1:37" x14ac:dyDescent="0.25">
      <c r="A130" s="261" t="s">
        <v>161</v>
      </c>
      <c r="B130" s="261" t="s">
        <v>141</v>
      </c>
      <c r="C130" s="185">
        <v>129</v>
      </c>
      <c r="D130" s="185">
        <f>Table1123457[[#This Row],[a (mm)]]/Table1123457[[#This Row],[d (mm)]]</f>
        <v>2.8928571428571428</v>
      </c>
      <c r="E130" s="262">
        <v>77.7</v>
      </c>
      <c r="F130" s="137">
        <f>Table1123457[[#This Row],[d (mm)]]</f>
        <v>280</v>
      </c>
      <c r="G130" s="135">
        <f t="shared" si="15"/>
        <v>62937</v>
      </c>
      <c r="H130" s="135">
        <f t="shared" si="16"/>
        <v>7.8900488044610005E-6</v>
      </c>
      <c r="I130" s="135">
        <f>G130/(Table1123457[[#This Row],[b (mm)]]*Z130^2)</f>
        <v>6.5800644028103043E-3</v>
      </c>
      <c r="J130" s="135">
        <f t="shared" si="17"/>
        <v>1.3639205913326191</v>
      </c>
      <c r="K130" s="135">
        <f t="shared" si="18"/>
        <v>1.3194311669496192E-5</v>
      </c>
      <c r="L130" s="135">
        <f>E130/(Table1123457[[#This Row],[b (mm)]]*Z130)</f>
        <v>2.2745901639344263E-3</v>
      </c>
      <c r="M130" s="135">
        <f>Table1123457[[#This Row],[M (KN.mm)]]/(Table1123457[[#This Row],[b (mm)]]*Table1123457[[#This Row],[d (mm)]])</f>
        <v>1.8424180327868853</v>
      </c>
      <c r="N130" s="135">
        <f>Table1123457[[#This Row],[M (KN.mm)]]/(Table1123457[[#This Row],[b (mm)]]*Table1123457[[#This Row],[h (mm)]])</f>
        <v>1.6641195134849287</v>
      </c>
      <c r="O130" s="145">
        <f>Table1123457[[#This Row],[M (KN.mm)]]/(Table1123457[[#This Row],[b (mm)]]*Table1123457[[#This Row],[h (mm)]]*Table1123457[[#This Row],[L(mm)]])</f>
        <v>1.0272342675832892E-3</v>
      </c>
      <c r="P130" s="145">
        <f>Table1123457[[#This Row],[M (KN.mm)]]/(Table1123457[[#This Row],[b (mm)]]*Table1123457[[#This Row],[d (mm)]]*Table1123457[[#This Row],[L(mm)]])</f>
        <v>1.1372950819672132E-3</v>
      </c>
      <c r="Q130" s="145">
        <f>Table1123457[[#This Row],[M (KN.mm)]]/(Table1123457[[#This Row],[b (mm)]]*Table1123457[[#This Row],[h (mm)]]*Table1123457[[#This Row],[L(mm)]]*Table1123457[[#This Row],[fc (Mpa)]])</f>
        <v>2.6204955805696155E-5</v>
      </c>
      <c r="R130" s="145">
        <f>Table1123457[[#This Row],[M (KN.mm)]]/(Table1123457[[#This Row],[b (mm)]]*Table1123457[[#This Row],[h (mm)]]*Table1123457[[#This Row],[L(mm)]]/2)</f>
        <v>2.0544685351665784E-3</v>
      </c>
      <c r="S130" s="145">
        <f>Table1123457[[#This Row],[M (KN.mm)]]/(Table1123457[[#This Row],[a (mm)]]*Table1123457[[#This Row],[b (mm)]]*Table1123457[[#This Row],[h (mm)]]*Table1123457[[#This Row],[L(mm)]]/2)</f>
        <v>2.5363809076130599E-6</v>
      </c>
      <c r="T130" s="111">
        <f>G130/($AL$5*AH130*0.001*Table1123457[[#This Row],[pho (%)]])</f>
        <v>9.5060828969409648E-6</v>
      </c>
      <c r="U130" s="145">
        <f>Table1123457[[#This Row],[M (KN.mm)]]/(Table1123457[[#This Row],[b (mm)]]*Table1123457[[#This Row],[d (mm)]]*Table1123457[[#This Row],[pho (%)]])</f>
        <v>2.2197807623938375</v>
      </c>
      <c r="V130" s="145">
        <f>E130*224.8/(2*SQRT(Table1123457[[#This Row],[fc (Mpa)]]*145.037)*Table1123457[[#This Row],[b (mm)]]*Table1123457[[#This Row],[d (mm)]]*(1/25.4)^2)</f>
        <v>2.1875322465910529</v>
      </c>
      <c r="W130" s="145">
        <f>Table1123457[[#This Row],[M (KN.mm)]]/$G$130</f>
        <v>1</v>
      </c>
      <c r="X130" s="111">
        <f t="shared" si="9"/>
        <v>2.1875322465910529</v>
      </c>
      <c r="Y130" s="111">
        <v>810</v>
      </c>
      <c r="Z130" s="111">
        <v>280</v>
      </c>
      <c r="AA130" s="111">
        <v>310</v>
      </c>
      <c r="AB130" s="111">
        <v>122</v>
      </c>
      <c r="AC130" s="7">
        <v>39.200000000000003</v>
      </c>
      <c r="AD130" s="135">
        <f>Table1123457[[#This Row],[pho (%)]]/100*Table1123457[[#This Row],[b (mm)]]*Table1123457[[#This Row],[h (mm)]]</f>
        <v>313.90600000000001</v>
      </c>
      <c r="AE130" s="135">
        <v>0.83</v>
      </c>
      <c r="AF130" s="160">
        <v>525</v>
      </c>
      <c r="AG130" s="135">
        <f>(1/3-0.21*(MIN(Table1123457[[#This Row],[b (mm)]],AA130)/MAX(Table1123457[[#This Row],[b (mm)]],AA130))*(MIN(Table1123457[[#This Row],[b (mm)]],AA130)^4/(12*MAX(Table1123457[[#This Row],[b (mm)]],AA130)^4)))*MAX(Table1123457[[#This Row],[b (mm)]],AA130)*MIN(Table1123457[[#This Row],[b (mm)]],AA130)^3</f>
        <v>187544629.45683298</v>
      </c>
      <c r="AH130" s="135">
        <f>Table1123457[[#This Row],[b (mm)]]*AA130^3/12</f>
        <v>302875166.66666669</v>
      </c>
      <c r="AI130" s="111">
        <v>1620</v>
      </c>
      <c r="AK130" s="107"/>
    </row>
    <row r="131" spans="1:37" x14ac:dyDescent="0.25">
      <c r="A131" s="263" t="s">
        <v>162</v>
      </c>
      <c r="B131" s="263">
        <v>1</v>
      </c>
      <c r="C131" s="185">
        <v>130</v>
      </c>
      <c r="D131" s="185">
        <f>Table1123457[[#This Row],[a (mm)]]/Table1123457[[#This Row],[d (mm)]]</f>
        <v>2.8928571428571428</v>
      </c>
      <c r="E131" s="264">
        <v>24</v>
      </c>
      <c r="F131" s="137">
        <f>Table1123457[[#This Row],[d (mm)]]</f>
        <v>280</v>
      </c>
      <c r="G131" s="135">
        <f t="shared" ref="G131:G162" si="19">E131*Y131</f>
        <v>19440</v>
      </c>
      <c r="H131" s="135">
        <f t="shared" ref="H131:H162" si="20">G131/($AL$5*AH131*0.001)</f>
        <v>2.4370807118026259E-6</v>
      </c>
      <c r="I131" s="135">
        <f>G131/(Table1123457[[#This Row],[b (mm)]]*Z131^2)</f>
        <v>2.0324523251923719E-3</v>
      </c>
      <c r="J131" s="135">
        <f t="shared" ref="J131:J162" si="21">G131/(AD131*AF131*Z131*0.001)</f>
        <v>0.42128821353903295</v>
      </c>
      <c r="K131" s="135">
        <f t="shared" ref="K131:K162" si="22">E131/($AL$4*AG131*0.001)</f>
        <v>4.0754630639370477E-6</v>
      </c>
      <c r="L131" s="135">
        <f>E131/(Table1123457[[#This Row],[b (mm)]]*Z131)</f>
        <v>7.0257611241217799E-4</v>
      </c>
      <c r="M131" s="135">
        <f>Table1123457[[#This Row],[M (KN.mm)]]/(Table1123457[[#This Row],[b (mm)]]*Table1123457[[#This Row],[d (mm)]])</f>
        <v>0.56908665105386413</v>
      </c>
      <c r="N131" s="135">
        <f>Table1123457[[#This Row],[M (KN.mm)]]/(Table1123457[[#This Row],[b (mm)]]*Table1123457[[#This Row],[h (mm)]])</f>
        <v>0.51401374933897404</v>
      </c>
      <c r="O131" s="145">
        <f>Table1123457[[#This Row],[M (KN.mm)]]/(Table1123457[[#This Row],[b (mm)]]*Table1123457[[#This Row],[h (mm)]]*Table1123457[[#This Row],[L(mm)]])</f>
        <v>3.1729243786356425E-4</v>
      </c>
      <c r="P131" s="145">
        <f>Table1123457[[#This Row],[M (KN.mm)]]/(Table1123457[[#This Row],[b (mm)]]*Table1123457[[#This Row],[d (mm)]]*Table1123457[[#This Row],[L(mm)]])</f>
        <v>3.5128805620608899E-4</v>
      </c>
      <c r="Q131" s="145">
        <f>Table1123457[[#This Row],[M (KN.mm)]]/(Table1123457[[#This Row],[b (mm)]]*Table1123457[[#This Row],[h (mm)]]*Table1123457[[#This Row],[L(mm)]]*Table1123457[[#This Row],[fc (Mpa)]])</f>
        <v>8.3278855082300337E-6</v>
      </c>
      <c r="R131" s="145">
        <f>Table1123457[[#This Row],[M (KN.mm)]]/(Table1123457[[#This Row],[b (mm)]]*Table1123457[[#This Row],[h (mm)]]*Table1123457[[#This Row],[L(mm)]]/2)</f>
        <v>6.345848757271285E-4</v>
      </c>
      <c r="S131" s="145">
        <f>Table1123457[[#This Row],[M (KN.mm)]]/(Table1123457[[#This Row],[a (mm)]]*Table1123457[[#This Row],[b (mm)]]*Table1123457[[#This Row],[h (mm)]]*Table1123457[[#This Row],[L(mm)]]/2)</f>
        <v>7.8343811818164016E-7</v>
      </c>
      <c r="T131" s="111">
        <f>G131/($AL$5*AH131*0.001*Table1123457[[#This Row],[pho (%)]])</f>
        <v>2.9362418214489469E-6</v>
      </c>
      <c r="U131" s="145">
        <f>Table1123457[[#This Row],[M (KN.mm)]]/(Table1123457[[#This Row],[b (mm)]]*Table1123457[[#This Row],[d (mm)]]*Table1123457[[#This Row],[pho (%)]])</f>
        <v>0.68564656753477615</v>
      </c>
      <c r="V131" s="145">
        <f>E131*224.8/(2*SQRT(Table1123457[[#This Row],[fc (Mpa)]]*145.037)*Table1123457[[#This Row],[b (mm)]]*Table1123457[[#This Row],[d (mm)]]*(1/25.4)^2)</f>
        <v>0.68537022364093891</v>
      </c>
      <c r="W131" s="145">
        <f>Table1123457[[#This Row],[M (KN.mm)]]/$G$140</f>
        <v>0.3162055335968379</v>
      </c>
      <c r="X131" s="111">
        <f t="shared" ref="X131:X194" si="23">V131</f>
        <v>0.68537022364093891</v>
      </c>
      <c r="Y131" s="111">
        <v>810</v>
      </c>
      <c r="Z131" s="111">
        <v>280</v>
      </c>
      <c r="AA131" s="111">
        <v>310</v>
      </c>
      <c r="AB131" s="111">
        <v>122</v>
      </c>
      <c r="AC131" s="7">
        <v>38.1</v>
      </c>
      <c r="AD131" s="135">
        <f>Table1123457[[#This Row],[pho (%)]]/100*Table1123457[[#This Row],[b (mm)]]*Table1123457[[#This Row],[h (mm)]]</f>
        <v>313.90600000000001</v>
      </c>
      <c r="AE131" s="135">
        <v>0.83</v>
      </c>
      <c r="AF131" s="160">
        <v>525</v>
      </c>
      <c r="AG131" s="135">
        <f>(1/3-0.21*(MIN(Table1123457[[#This Row],[b (mm)]],AA131)/MAX(Table1123457[[#This Row],[b (mm)]],AA131))*(MIN(Table1123457[[#This Row],[b (mm)]],AA131)^4/(12*MAX(Table1123457[[#This Row],[b (mm)]],AA131)^4)))*MAX(Table1123457[[#This Row],[b (mm)]],AA131)*MIN(Table1123457[[#This Row],[b (mm)]],AA131)^3</f>
        <v>187544629.45683298</v>
      </c>
      <c r="AH131" s="135">
        <f>Table1123457[[#This Row],[b (mm)]]*AA131^3/12</f>
        <v>302875166.66666669</v>
      </c>
      <c r="AI131" s="111">
        <v>1620</v>
      </c>
      <c r="AK131" s="107"/>
    </row>
    <row r="132" spans="1:37" x14ac:dyDescent="0.25">
      <c r="A132" s="263" t="s">
        <v>162</v>
      </c>
      <c r="B132" s="263">
        <v>2</v>
      </c>
      <c r="C132" s="185">
        <v>131</v>
      </c>
      <c r="D132" s="185">
        <f>Table1123457[[#This Row],[a (mm)]]/Table1123457[[#This Row],[d (mm)]]</f>
        <v>2.8928571428571428</v>
      </c>
      <c r="E132" s="264">
        <v>34</v>
      </c>
      <c r="F132" s="137">
        <f>Table1123457[[#This Row],[d (mm)]]</f>
        <v>280</v>
      </c>
      <c r="G132" s="135">
        <f t="shared" si="19"/>
        <v>27540</v>
      </c>
      <c r="H132" s="135">
        <f t="shared" si="20"/>
        <v>3.4525310083870532E-6</v>
      </c>
      <c r="I132" s="135">
        <f>G132/(Table1123457[[#This Row],[b (mm)]]*Z132^2)</f>
        <v>2.8793074606891936E-3</v>
      </c>
      <c r="J132" s="135">
        <f t="shared" si="21"/>
        <v>0.5968249691802967</v>
      </c>
      <c r="K132" s="135">
        <f t="shared" si="22"/>
        <v>5.7735726739108174E-6</v>
      </c>
      <c r="L132" s="135">
        <f>E132/(Table1123457[[#This Row],[b (mm)]]*Z132)</f>
        <v>9.9531615925058559E-4</v>
      </c>
      <c r="M132" s="135">
        <f>Table1123457[[#This Row],[M (KN.mm)]]/(Table1123457[[#This Row],[b (mm)]]*Table1123457[[#This Row],[d (mm)]])</f>
        <v>0.80620608899297419</v>
      </c>
      <c r="N132" s="135">
        <f>Table1123457[[#This Row],[M (KN.mm)]]/(Table1123457[[#This Row],[b (mm)]]*Table1123457[[#This Row],[h (mm)]])</f>
        <v>0.72818614489687994</v>
      </c>
      <c r="O132" s="145">
        <f>Table1123457[[#This Row],[M (KN.mm)]]/(Table1123457[[#This Row],[b (mm)]]*Table1123457[[#This Row],[h (mm)]]*Table1123457[[#This Row],[L(mm)]])</f>
        <v>4.4949762030671602E-4</v>
      </c>
      <c r="P132" s="145">
        <f>Table1123457[[#This Row],[M (KN.mm)]]/(Table1123457[[#This Row],[b (mm)]]*Table1123457[[#This Row],[d (mm)]]*Table1123457[[#This Row],[L(mm)]])</f>
        <v>4.9765807962529279E-4</v>
      </c>
      <c r="Q132" s="145">
        <f>Table1123457[[#This Row],[M (KN.mm)]]/(Table1123457[[#This Row],[b (mm)]]*Table1123457[[#This Row],[h (mm)]]*Table1123457[[#This Row],[L(mm)]]*Table1123457[[#This Row],[fc (Mpa)]])</f>
        <v>1.179783780332588E-5</v>
      </c>
      <c r="R132" s="145">
        <f>Table1123457[[#This Row],[M (KN.mm)]]/(Table1123457[[#This Row],[b (mm)]]*Table1123457[[#This Row],[h (mm)]]*Table1123457[[#This Row],[L(mm)]]/2)</f>
        <v>8.9899524061343205E-4</v>
      </c>
      <c r="S132" s="145">
        <f>Table1123457[[#This Row],[M (KN.mm)]]/(Table1123457[[#This Row],[a (mm)]]*Table1123457[[#This Row],[b (mm)]]*Table1123457[[#This Row],[h (mm)]]*Table1123457[[#This Row],[L(mm)]]/2)</f>
        <v>1.1098706674239901E-6</v>
      </c>
      <c r="T132" s="111">
        <f>G132/($AL$5*AH132*0.001*Table1123457[[#This Row],[pho (%)]])</f>
        <v>4.1596759137193414E-6</v>
      </c>
      <c r="U132" s="145">
        <f>Table1123457[[#This Row],[M (KN.mm)]]/(Table1123457[[#This Row],[b (mm)]]*Table1123457[[#This Row],[d (mm)]]*Table1123457[[#This Row],[pho (%)]])</f>
        <v>0.97133263734093289</v>
      </c>
      <c r="V132" s="145">
        <f>E132*224.8/(2*SQRT(Table1123457[[#This Row],[fc (Mpa)]]*145.037)*Table1123457[[#This Row],[b (mm)]]*Table1123457[[#This Row],[d (mm)]]*(1/25.4)^2)</f>
        <v>0.97094115015799687</v>
      </c>
      <c r="W132" s="145">
        <f>Table1123457[[#This Row],[M (KN.mm)]]/$G$140</f>
        <v>0.44795783926218702</v>
      </c>
      <c r="X132" s="111">
        <f t="shared" si="23"/>
        <v>0.97094115015799687</v>
      </c>
      <c r="Y132" s="111">
        <v>810</v>
      </c>
      <c r="Z132" s="111">
        <v>280</v>
      </c>
      <c r="AA132" s="111">
        <v>310</v>
      </c>
      <c r="AB132" s="111">
        <v>122</v>
      </c>
      <c r="AC132" s="7">
        <v>38.1</v>
      </c>
      <c r="AD132" s="135">
        <f>Table1123457[[#This Row],[pho (%)]]/100*Table1123457[[#This Row],[b (mm)]]*Table1123457[[#This Row],[h (mm)]]</f>
        <v>313.90600000000001</v>
      </c>
      <c r="AE132" s="135">
        <v>0.83</v>
      </c>
      <c r="AF132" s="160">
        <v>525</v>
      </c>
      <c r="AG132" s="135">
        <f>(1/3-0.21*(MIN(Table1123457[[#This Row],[b (mm)]],AA132)/MAX(Table1123457[[#This Row],[b (mm)]],AA132))*(MIN(Table1123457[[#This Row],[b (mm)]],AA132)^4/(12*MAX(Table1123457[[#This Row],[b (mm)]],AA132)^4)))*MAX(Table1123457[[#This Row],[b (mm)]],AA132)*MIN(Table1123457[[#This Row],[b (mm)]],AA132)^3</f>
        <v>187544629.45683298</v>
      </c>
      <c r="AH132" s="135">
        <f>Table1123457[[#This Row],[b (mm)]]*AA132^3/12</f>
        <v>302875166.66666669</v>
      </c>
      <c r="AI132" s="111">
        <v>1620</v>
      </c>
      <c r="AK132" s="107"/>
    </row>
    <row r="133" spans="1:37" x14ac:dyDescent="0.25">
      <c r="A133" s="263" t="s">
        <v>162</v>
      </c>
      <c r="B133" s="263">
        <v>3</v>
      </c>
      <c r="C133" s="185">
        <v>132</v>
      </c>
      <c r="D133" s="185">
        <f>Table1123457[[#This Row],[a (mm)]]/Table1123457[[#This Row],[d (mm)]]</f>
        <v>2.8928571428571428</v>
      </c>
      <c r="E133" s="264">
        <v>45.5</v>
      </c>
      <c r="F133" s="137">
        <f>Table1123457[[#This Row],[d (mm)]]</f>
        <v>280</v>
      </c>
      <c r="G133" s="135">
        <f t="shared" si="19"/>
        <v>36855</v>
      </c>
      <c r="H133" s="135">
        <f t="shared" si="20"/>
        <v>4.6202988494591452E-6</v>
      </c>
      <c r="I133" s="135">
        <f>G133/(Table1123457[[#This Row],[b (mm)]]*Z133^2)</f>
        <v>3.8531908665105385E-3</v>
      </c>
      <c r="J133" s="135">
        <f t="shared" si="21"/>
        <v>0.79869223816774992</v>
      </c>
      <c r="K133" s="135">
        <f t="shared" si="22"/>
        <v>7.726398725380653E-6</v>
      </c>
      <c r="L133" s="135">
        <f>E133/(Table1123457[[#This Row],[b (mm)]]*Z133)</f>
        <v>1.331967213114754E-3</v>
      </c>
      <c r="M133" s="135">
        <f>Table1123457[[#This Row],[M (KN.mm)]]/(Table1123457[[#This Row],[b (mm)]]*Table1123457[[#This Row],[d (mm)]])</f>
        <v>1.0788934426229508</v>
      </c>
      <c r="N133" s="135">
        <f>Table1123457[[#This Row],[M (KN.mm)]]/(Table1123457[[#This Row],[b (mm)]]*Table1123457[[#This Row],[h (mm)]])</f>
        <v>0.97448439978847168</v>
      </c>
      <c r="O133" s="145">
        <f>Table1123457[[#This Row],[M (KN.mm)]]/(Table1123457[[#This Row],[b (mm)]]*Table1123457[[#This Row],[h (mm)]]*Table1123457[[#This Row],[L(mm)]])</f>
        <v>6.0153358011634061E-4</v>
      </c>
      <c r="P133" s="145">
        <f>Table1123457[[#This Row],[M (KN.mm)]]/(Table1123457[[#This Row],[b (mm)]]*Table1123457[[#This Row],[d (mm)]]*Table1123457[[#This Row],[L(mm)]])</f>
        <v>6.6598360655737701E-4</v>
      </c>
      <c r="Q133" s="145">
        <f>Table1123457[[#This Row],[M (KN.mm)]]/(Table1123457[[#This Row],[b (mm)]]*Table1123457[[#This Row],[h (mm)]]*Table1123457[[#This Row],[L(mm)]]*Table1123457[[#This Row],[fc (Mpa)]])</f>
        <v>1.5788282942686105E-5</v>
      </c>
      <c r="R133" s="145">
        <f>Table1123457[[#This Row],[M (KN.mm)]]/(Table1123457[[#This Row],[b (mm)]]*Table1123457[[#This Row],[h (mm)]]*Table1123457[[#This Row],[L(mm)]]/2)</f>
        <v>1.2030671602326812E-3</v>
      </c>
      <c r="S133" s="145">
        <f>Table1123457[[#This Row],[M (KN.mm)]]/(Table1123457[[#This Row],[a (mm)]]*Table1123457[[#This Row],[b (mm)]]*Table1123457[[#This Row],[h (mm)]]*Table1123457[[#This Row],[L(mm)]]/2)</f>
        <v>1.4852680990526926E-6</v>
      </c>
      <c r="T133" s="111">
        <f>G133/($AL$5*AH133*0.001*Table1123457[[#This Row],[pho (%)]])</f>
        <v>5.5666251198302951E-6</v>
      </c>
      <c r="U133" s="145">
        <f>Table1123457[[#This Row],[M (KN.mm)]]/(Table1123457[[#This Row],[b (mm)]]*Table1123457[[#This Row],[d (mm)]]*Table1123457[[#This Row],[pho (%)]])</f>
        <v>1.2998716176180132</v>
      </c>
      <c r="V133" s="145">
        <f>E133*224.8/(2*SQRT(Table1123457[[#This Row],[fc (Mpa)]]*145.037)*Table1123457[[#This Row],[b (mm)]]*Table1123457[[#This Row],[d (mm)]]*(1/25.4)^2)</f>
        <v>1.2993477156526132</v>
      </c>
      <c r="W133" s="145">
        <f>Table1123457[[#This Row],[M (KN.mm)]]/$G$140</f>
        <v>0.59947299077733851</v>
      </c>
      <c r="X133" s="111">
        <f t="shared" si="23"/>
        <v>1.2993477156526132</v>
      </c>
      <c r="Y133" s="111">
        <v>810</v>
      </c>
      <c r="Z133" s="111">
        <v>280</v>
      </c>
      <c r="AA133" s="111">
        <v>310</v>
      </c>
      <c r="AB133" s="111">
        <v>122</v>
      </c>
      <c r="AC133" s="7">
        <v>38.1</v>
      </c>
      <c r="AD133" s="135">
        <f>Table1123457[[#This Row],[pho (%)]]/100*Table1123457[[#This Row],[b (mm)]]*Table1123457[[#This Row],[h (mm)]]</f>
        <v>313.90600000000001</v>
      </c>
      <c r="AE133" s="135">
        <v>0.83</v>
      </c>
      <c r="AF133" s="160">
        <v>525</v>
      </c>
      <c r="AG133" s="135">
        <f>(1/3-0.21*(MIN(Table1123457[[#This Row],[b (mm)]],AA133)/MAX(Table1123457[[#This Row],[b (mm)]],AA133))*(MIN(Table1123457[[#This Row],[b (mm)]],AA133)^4/(12*MAX(Table1123457[[#This Row],[b (mm)]],AA133)^4)))*MAX(Table1123457[[#This Row],[b (mm)]],AA133)*MIN(Table1123457[[#This Row],[b (mm)]],AA133)^3</f>
        <v>187544629.45683298</v>
      </c>
      <c r="AH133" s="135">
        <f>Table1123457[[#This Row],[b (mm)]]*AA133^3/12</f>
        <v>302875166.66666669</v>
      </c>
      <c r="AI133" s="111">
        <v>1620</v>
      </c>
      <c r="AK133" s="107"/>
    </row>
    <row r="134" spans="1:37" x14ac:dyDescent="0.25">
      <c r="A134" s="263" t="s">
        <v>162</v>
      </c>
      <c r="B134" s="263">
        <v>4</v>
      </c>
      <c r="C134" s="185">
        <v>133</v>
      </c>
      <c r="D134" s="185">
        <f>Table1123457[[#This Row],[a (mm)]]/Table1123457[[#This Row],[d (mm)]]</f>
        <v>2.8928571428571428</v>
      </c>
      <c r="E134" s="264">
        <v>55</v>
      </c>
      <c r="F134" s="137">
        <f>Table1123457[[#This Row],[d (mm)]]</f>
        <v>280</v>
      </c>
      <c r="G134" s="135">
        <f t="shared" si="19"/>
        <v>44550</v>
      </c>
      <c r="H134" s="135">
        <f t="shared" si="20"/>
        <v>5.5849766312143514E-6</v>
      </c>
      <c r="I134" s="135">
        <f>G134/(Table1123457[[#This Row],[b (mm)]]*Z134^2)</f>
        <v>4.6577032452325192E-3</v>
      </c>
      <c r="J134" s="135">
        <f t="shared" si="21"/>
        <v>0.96545215602695045</v>
      </c>
      <c r="K134" s="135">
        <f t="shared" si="22"/>
        <v>9.3396028548557336E-6</v>
      </c>
      <c r="L134" s="135">
        <f>E134/(Table1123457[[#This Row],[b (mm)]]*Z134)</f>
        <v>1.6100702576112413E-3</v>
      </c>
      <c r="M134" s="135">
        <f>Table1123457[[#This Row],[M (KN.mm)]]/(Table1123457[[#This Row],[b (mm)]]*Table1123457[[#This Row],[d (mm)]])</f>
        <v>1.3041569086651055</v>
      </c>
      <c r="N134" s="135">
        <f>Table1123457[[#This Row],[M (KN.mm)]]/(Table1123457[[#This Row],[b (mm)]]*Table1123457[[#This Row],[h (mm)]])</f>
        <v>1.1779481755684822</v>
      </c>
      <c r="O134" s="145">
        <f>Table1123457[[#This Row],[M (KN.mm)]]/(Table1123457[[#This Row],[b (mm)]]*Table1123457[[#This Row],[h (mm)]]*Table1123457[[#This Row],[L(mm)]])</f>
        <v>7.2712850343733474E-4</v>
      </c>
      <c r="P134" s="145">
        <f>Table1123457[[#This Row],[M (KN.mm)]]/(Table1123457[[#This Row],[b (mm)]]*Table1123457[[#This Row],[d (mm)]]*Table1123457[[#This Row],[L(mm)]])</f>
        <v>8.0503512880562064E-4</v>
      </c>
      <c r="Q134" s="145">
        <f>Table1123457[[#This Row],[M (KN.mm)]]/(Table1123457[[#This Row],[b (mm)]]*Table1123457[[#This Row],[h (mm)]]*Table1123457[[#This Row],[L(mm)]]*Table1123457[[#This Row],[fc (Mpa)]])</f>
        <v>1.9084737623027158E-5</v>
      </c>
      <c r="R134" s="145">
        <f>Table1123457[[#This Row],[M (KN.mm)]]/(Table1123457[[#This Row],[b (mm)]]*Table1123457[[#This Row],[h (mm)]]*Table1123457[[#This Row],[L(mm)]]/2)</f>
        <v>1.4542570068746695E-3</v>
      </c>
      <c r="S134" s="145">
        <f>Table1123457[[#This Row],[M (KN.mm)]]/(Table1123457[[#This Row],[a (mm)]]*Table1123457[[#This Row],[b (mm)]]*Table1123457[[#This Row],[h (mm)]]*Table1123457[[#This Row],[L(mm)]]/2)</f>
        <v>1.7953790208329253E-6</v>
      </c>
      <c r="T134" s="111">
        <f>G134/($AL$5*AH134*0.001*Table1123457[[#This Row],[pho (%)]])</f>
        <v>6.7288875074871699E-6</v>
      </c>
      <c r="U134" s="145">
        <f>Table1123457[[#This Row],[M (KN.mm)]]/(Table1123457[[#This Row],[b (mm)]]*Table1123457[[#This Row],[d (mm)]]*Table1123457[[#This Row],[pho (%)]])</f>
        <v>1.571273383933862</v>
      </c>
      <c r="V134" s="145">
        <f>E134*224.8/(2*SQRT(Table1123457[[#This Row],[fc (Mpa)]]*145.037)*Table1123457[[#This Row],[b (mm)]]*Table1123457[[#This Row],[d (mm)]]*(1/25.4)^2)</f>
        <v>1.5706400958438183</v>
      </c>
      <c r="W134" s="145">
        <f>Table1123457[[#This Row],[M (KN.mm)]]/$G$140</f>
        <v>0.72463768115942018</v>
      </c>
      <c r="X134" s="111">
        <f t="shared" si="23"/>
        <v>1.5706400958438183</v>
      </c>
      <c r="Y134" s="111">
        <v>810</v>
      </c>
      <c r="Z134" s="111">
        <v>280</v>
      </c>
      <c r="AA134" s="111">
        <v>310</v>
      </c>
      <c r="AB134" s="111">
        <v>122</v>
      </c>
      <c r="AC134" s="7">
        <v>38.1</v>
      </c>
      <c r="AD134" s="135">
        <f>Table1123457[[#This Row],[pho (%)]]/100*Table1123457[[#This Row],[b (mm)]]*Table1123457[[#This Row],[h (mm)]]</f>
        <v>313.90600000000001</v>
      </c>
      <c r="AE134" s="135">
        <v>0.83</v>
      </c>
      <c r="AF134" s="160">
        <v>525</v>
      </c>
      <c r="AG134" s="135">
        <f>(1/3-0.21*(MIN(Table1123457[[#This Row],[b (mm)]],AA134)/MAX(Table1123457[[#This Row],[b (mm)]],AA134))*(MIN(Table1123457[[#This Row],[b (mm)]],AA134)^4/(12*MAX(Table1123457[[#This Row],[b (mm)]],AA134)^4)))*MAX(Table1123457[[#This Row],[b (mm)]],AA134)*MIN(Table1123457[[#This Row],[b (mm)]],AA134)^3</f>
        <v>187544629.45683298</v>
      </c>
      <c r="AH134" s="135">
        <f>Table1123457[[#This Row],[b (mm)]]*AA134^3/12</f>
        <v>302875166.66666669</v>
      </c>
      <c r="AI134" s="111">
        <v>1620</v>
      </c>
      <c r="AK134" s="107"/>
    </row>
    <row r="135" spans="1:37" x14ac:dyDescent="0.25">
      <c r="A135" s="263" t="s">
        <v>162</v>
      </c>
      <c r="B135" s="263">
        <v>5</v>
      </c>
      <c r="C135" s="185">
        <v>134</v>
      </c>
      <c r="D135" s="185">
        <f>Table1123457[[#This Row],[a (mm)]]/Table1123457[[#This Row],[d (mm)]]</f>
        <v>2.8928571428571428</v>
      </c>
      <c r="E135" s="264">
        <v>65.099999999999994</v>
      </c>
      <c r="F135" s="137">
        <f>Table1123457[[#This Row],[d (mm)]]</f>
        <v>280</v>
      </c>
      <c r="G135" s="135">
        <f t="shared" si="19"/>
        <v>52730.999999999993</v>
      </c>
      <c r="H135" s="135">
        <f t="shared" si="20"/>
        <v>6.6105814307646214E-6</v>
      </c>
      <c r="I135" s="135">
        <f>G135/(Table1123457[[#This Row],[b (mm)]]*Z135^2)</f>
        <v>5.513026932084308E-3</v>
      </c>
      <c r="J135" s="135">
        <f t="shared" si="21"/>
        <v>1.1427442792246267</v>
      </c>
      <c r="K135" s="135">
        <f t="shared" si="22"/>
        <v>1.105469356092924E-5</v>
      </c>
      <c r="L135" s="135">
        <f>E135/(Table1123457[[#This Row],[b (mm)]]*Z135)</f>
        <v>1.9057377049180326E-3</v>
      </c>
      <c r="M135" s="135">
        <f>Table1123457[[#This Row],[M (KN.mm)]]/(Table1123457[[#This Row],[b (mm)]]*Table1123457[[#This Row],[d (mm)]])</f>
        <v>1.5436475409836063</v>
      </c>
      <c r="N135" s="135">
        <f>Table1123457[[#This Row],[M (KN.mm)]]/(Table1123457[[#This Row],[b (mm)]]*Table1123457[[#This Row],[h (mm)]])</f>
        <v>1.394262295081967</v>
      </c>
      <c r="O135" s="145">
        <f>Table1123457[[#This Row],[M (KN.mm)]]/(Table1123457[[#This Row],[b (mm)]]*Table1123457[[#This Row],[h (mm)]]*Table1123457[[#This Row],[L(mm)]])</f>
        <v>8.6065573770491787E-4</v>
      </c>
      <c r="P135" s="145">
        <f>Table1123457[[#This Row],[M (KN.mm)]]/(Table1123457[[#This Row],[b (mm)]]*Table1123457[[#This Row],[d (mm)]]*Table1123457[[#This Row],[L(mm)]])</f>
        <v>9.528688524590163E-4</v>
      </c>
      <c r="Q135" s="145">
        <f>Table1123457[[#This Row],[M (KN.mm)]]/(Table1123457[[#This Row],[b (mm)]]*Table1123457[[#This Row],[h (mm)]]*Table1123457[[#This Row],[L(mm)]]*Table1123457[[#This Row],[fc (Mpa)]])</f>
        <v>2.258938944107396E-5</v>
      </c>
      <c r="R135" s="145">
        <f>Table1123457[[#This Row],[M (KN.mm)]]/(Table1123457[[#This Row],[b (mm)]]*Table1123457[[#This Row],[h (mm)]]*Table1123457[[#This Row],[L(mm)]]/2)</f>
        <v>1.7213114754098357E-3</v>
      </c>
      <c r="S135" s="145">
        <f>Table1123457[[#This Row],[M (KN.mm)]]/(Table1123457[[#This Row],[a (mm)]]*Table1123457[[#This Row],[b (mm)]]*Table1123457[[#This Row],[h (mm)]]*Table1123457[[#This Row],[L(mm)]]/2)</f>
        <v>2.1250758955676985E-6</v>
      </c>
      <c r="T135" s="111">
        <f>G135/($AL$5*AH135*0.001*Table1123457[[#This Row],[pho (%)]])</f>
        <v>7.9645559406802663E-6</v>
      </c>
      <c r="U135" s="145">
        <f>Table1123457[[#This Row],[M (KN.mm)]]/(Table1123457[[#This Row],[b (mm)]]*Table1123457[[#This Row],[d (mm)]]*Table1123457[[#This Row],[pho (%)]])</f>
        <v>1.8598163144380799</v>
      </c>
      <c r="V135" s="145">
        <f>E135*224.8/(2*SQRT(Table1123457[[#This Row],[fc (Mpa)]]*145.037)*Table1123457[[#This Row],[b (mm)]]*Table1123457[[#This Row],[d (mm)]]*(1/25.4)^2)</f>
        <v>1.8590667316260467</v>
      </c>
      <c r="W135" s="145">
        <f>Table1123457[[#This Row],[M (KN.mm)]]/$G$140</f>
        <v>0.85770750988142275</v>
      </c>
      <c r="X135" s="111">
        <f t="shared" si="23"/>
        <v>1.8590667316260467</v>
      </c>
      <c r="Y135" s="111">
        <v>810</v>
      </c>
      <c r="Z135" s="111">
        <v>280</v>
      </c>
      <c r="AA135" s="111">
        <v>310</v>
      </c>
      <c r="AB135" s="111">
        <v>122</v>
      </c>
      <c r="AC135" s="7">
        <v>38.1</v>
      </c>
      <c r="AD135" s="135">
        <f>Table1123457[[#This Row],[pho (%)]]/100*Table1123457[[#This Row],[b (mm)]]*Table1123457[[#This Row],[h (mm)]]</f>
        <v>313.90600000000001</v>
      </c>
      <c r="AE135" s="135">
        <v>0.83</v>
      </c>
      <c r="AF135" s="160">
        <v>525</v>
      </c>
      <c r="AG135" s="135">
        <f>(1/3-0.21*(MIN(Table1123457[[#This Row],[b (mm)]],AA135)/MAX(Table1123457[[#This Row],[b (mm)]],AA135))*(MIN(Table1123457[[#This Row],[b (mm)]],AA135)^4/(12*MAX(Table1123457[[#This Row],[b (mm)]],AA135)^4)))*MAX(Table1123457[[#This Row],[b (mm)]],AA135)*MIN(Table1123457[[#This Row],[b (mm)]],AA135)^3</f>
        <v>187544629.45683298</v>
      </c>
      <c r="AH135" s="135">
        <f>Table1123457[[#This Row],[b (mm)]]*AA135^3/12</f>
        <v>302875166.66666669</v>
      </c>
      <c r="AI135" s="111">
        <v>1620</v>
      </c>
      <c r="AK135" s="107"/>
    </row>
    <row r="136" spans="1:37" x14ac:dyDescent="0.25">
      <c r="A136" s="263" t="s">
        <v>162</v>
      </c>
      <c r="B136" s="263">
        <v>6</v>
      </c>
      <c r="C136" s="185">
        <v>135</v>
      </c>
      <c r="D136" s="185">
        <f>Table1123457[[#This Row],[a (mm)]]/Table1123457[[#This Row],[d (mm)]]</f>
        <v>2.8928571428571428</v>
      </c>
      <c r="E136" s="264">
        <v>65</v>
      </c>
      <c r="F136" s="137">
        <f>Table1123457[[#This Row],[d (mm)]]</f>
        <v>280</v>
      </c>
      <c r="G136" s="135">
        <f t="shared" si="19"/>
        <v>52650</v>
      </c>
      <c r="H136" s="135">
        <f t="shared" si="20"/>
        <v>6.6004269277987786E-6</v>
      </c>
      <c r="I136" s="135">
        <f>G136/(Table1123457[[#This Row],[b (mm)]]*Z136^2)</f>
        <v>5.504558380729341E-3</v>
      </c>
      <c r="J136" s="135">
        <f t="shared" si="21"/>
        <v>1.1409889116682141</v>
      </c>
      <c r="K136" s="135">
        <f t="shared" si="22"/>
        <v>1.1037712464829503E-5</v>
      </c>
      <c r="L136" s="135">
        <f>E136/(Table1123457[[#This Row],[b (mm)]]*Z136)</f>
        <v>1.9028103044496487E-3</v>
      </c>
      <c r="M136" s="135">
        <f>Table1123457[[#This Row],[M (KN.mm)]]/(Table1123457[[#This Row],[b (mm)]]*Table1123457[[#This Row],[d (mm)]])</f>
        <v>1.5412763466042154</v>
      </c>
      <c r="N136" s="135">
        <f>Table1123457[[#This Row],[M (KN.mm)]]/(Table1123457[[#This Row],[b (mm)]]*Table1123457[[#This Row],[h (mm)]])</f>
        <v>1.3921205711263882</v>
      </c>
      <c r="O136" s="145">
        <f>Table1123457[[#This Row],[M (KN.mm)]]/(Table1123457[[#This Row],[b (mm)]]*Table1123457[[#This Row],[h (mm)]]*Table1123457[[#This Row],[L(mm)]])</f>
        <v>8.5933368588048651E-4</v>
      </c>
      <c r="P136" s="145">
        <f>Table1123457[[#This Row],[M (KN.mm)]]/(Table1123457[[#This Row],[b (mm)]]*Table1123457[[#This Row],[d (mm)]]*Table1123457[[#This Row],[L(mm)]])</f>
        <v>9.5140515222482433E-4</v>
      </c>
      <c r="Q136" s="145">
        <f>Table1123457[[#This Row],[M (KN.mm)]]/(Table1123457[[#This Row],[b (mm)]]*Table1123457[[#This Row],[h (mm)]]*Table1123457[[#This Row],[L(mm)]]*Table1123457[[#This Row],[fc (Mpa)]])</f>
        <v>2.2554689918123006E-5</v>
      </c>
      <c r="R136" s="145">
        <f>Table1123457[[#This Row],[M (KN.mm)]]/(Table1123457[[#This Row],[b (mm)]]*Table1123457[[#This Row],[h (mm)]]*Table1123457[[#This Row],[L(mm)]]/2)</f>
        <v>1.718667371760973E-3</v>
      </c>
      <c r="S136" s="145">
        <f>Table1123457[[#This Row],[M (KN.mm)]]/(Table1123457[[#This Row],[a (mm)]]*Table1123457[[#This Row],[b (mm)]]*Table1123457[[#This Row],[h (mm)]]*Table1123457[[#This Row],[L(mm)]]/2)</f>
        <v>2.1218115700752754E-6</v>
      </c>
      <c r="T136" s="111">
        <f>G136/($AL$5*AH136*0.001*Table1123457[[#This Row],[pho (%)]])</f>
        <v>7.9523215997575644E-6</v>
      </c>
      <c r="U136" s="145">
        <f>Table1123457[[#This Row],[M (KN.mm)]]/(Table1123457[[#This Row],[b (mm)]]*Table1123457[[#This Row],[d (mm)]]*Table1123457[[#This Row],[pho (%)]])</f>
        <v>1.8569594537400187</v>
      </c>
      <c r="V136" s="145">
        <f>E136*224.8/(2*SQRT(Table1123457[[#This Row],[fc (Mpa)]]*145.037)*Table1123457[[#This Row],[b (mm)]]*Table1123457[[#This Row],[d (mm)]]*(1/25.4)^2)</f>
        <v>1.8562110223608761</v>
      </c>
      <c r="W136" s="145">
        <f>Table1123457[[#This Row],[M (KN.mm)]]/$G$140</f>
        <v>0.8563899868247693</v>
      </c>
      <c r="X136" s="111">
        <f t="shared" si="23"/>
        <v>1.8562110223608761</v>
      </c>
      <c r="Y136" s="111">
        <v>810</v>
      </c>
      <c r="Z136" s="111">
        <v>280</v>
      </c>
      <c r="AA136" s="111">
        <v>310</v>
      </c>
      <c r="AB136" s="111">
        <v>122</v>
      </c>
      <c r="AC136" s="7">
        <v>38.1</v>
      </c>
      <c r="AD136" s="135">
        <f>Table1123457[[#This Row],[pho (%)]]/100*Table1123457[[#This Row],[b (mm)]]*Table1123457[[#This Row],[h (mm)]]</f>
        <v>313.90600000000001</v>
      </c>
      <c r="AE136" s="135">
        <v>0.83</v>
      </c>
      <c r="AF136" s="160">
        <v>525</v>
      </c>
      <c r="AG136" s="135">
        <f>(1/3-0.21*(MIN(Table1123457[[#This Row],[b (mm)]],AA136)/MAX(Table1123457[[#This Row],[b (mm)]],AA136))*(MIN(Table1123457[[#This Row],[b (mm)]],AA136)^4/(12*MAX(Table1123457[[#This Row],[b (mm)]],AA136)^4)))*MAX(Table1123457[[#This Row],[b (mm)]],AA136)*MIN(Table1123457[[#This Row],[b (mm)]],AA136)^3</f>
        <v>187544629.45683298</v>
      </c>
      <c r="AH136" s="135">
        <f>Table1123457[[#This Row],[b (mm)]]*AA136^3/12</f>
        <v>302875166.66666669</v>
      </c>
      <c r="AI136" s="111">
        <v>1620</v>
      </c>
      <c r="AK136" s="107"/>
    </row>
    <row r="137" spans="1:37" x14ac:dyDescent="0.25">
      <c r="A137" s="263" t="s">
        <v>162</v>
      </c>
      <c r="B137" s="263">
        <v>7</v>
      </c>
      <c r="C137" s="185">
        <v>136</v>
      </c>
      <c r="D137" s="185">
        <f>Table1123457[[#This Row],[a (mm)]]/Table1123457[[#This Row],[d (mm)]]</f>
        <v>2.8928571428571428</v>
      </c>
      <c r="E137" s="264">
        <v>74.7</v>
      </c>
      <c r="F137" s="137">
        <f>Table1123457[[#This Row],[d (mm)]]</f>
        <v>280</v>
      </c>
      <c r="G137" s="135">
        <f t="shared" si="19"/>
        <v>60507</v>
      </c>
      <c r="H137" s="135">
        <f t="shared" si="20"/>
        <v>7.5854137154856727E-6</v>
      </c>
      <c r="I137" s="135">
        <f>G137/(Table1123457[[#This Row],[b (mm)]]*Z137^2)</f>
        <v>6.326007862161258E-3</v>
      </c>
      <c r="J137" s="135">
        <f t="shared" si="21"/>
        <v>1.3112595646402401</v>
      </c>
      <c r="K137" s="135">
        <f t="shared" si="22"/>
        <v>1.268487878650406E-5</v>
      </c>
      <c r="L137" s="135">
        <f>E137/(Table1123457[[#This Row],[b (mm)]]*Z137)</f>
        <v>2.1867681498829042E-3</v>
      </c>
      <c r="M137" s="135">
        <f>Table1123457[[#This Row],[M (KN.mm)]]/(Table1123457[[#This Row],[b (mm)]]*Table1123457[[#This Row],[d (mm)]])</f>
        <v>1.7712822014051521</v>
      </c>
      <c r="N137" s="135">
        <f>Table1123457[[#This Row],[M (KN.mm)]]/(Table1123457[[#This Row],[b (mm)]]*Table1123457[[#This Row],[h (mm)]])</f>
        <v>1.5998677948175568</v>
      </c>
      <c r="O137" s="145">
        <f>Table1123457[[#This Row],[M (KN.mm)]]/(Table1123457[[#This Row],[b (mm)]]*Table1123457[[#This Row],[h (mm)]]*Table1123457[[#This Row],[L(mm)]])</f>
        <v>9.8757271285034379E-4</v>
      </c>
      <c r="P137" s="145">
        <f>Table1123457[[#This Row],[M (KN.mm)]]/(Table1123457[[#This Row],[b (mm)]]*Table1123457[[#This Row],[d (mm)]]*Table1123457[[#This Row],[L(mm)]])</f>
        <v>1.0933840749414519E-3</v>
      </c>
      <c r="Q137" s="145">
        <f>Table1123457[[#This Row],[M (KN.mm)]]/(Table1123457[[#This Row],[b (mm)]]*Table1123457[[#This Row],[h (mm)]]*Table1123457[[#This Row],[L(mm)]]*Table1123457[[#This Row],[fc (Mpa)]])</f>
        <v>2.5920543644365977E-5</v>
      </c>
      <c r="R137" s="145">
        <f>Table1123457[[#This Row],[M (KN.mm)]]/(Table1123457[[#This Row],[b (mm)]]*Table1123457[[#This Row],[h (mm)]]*Table1123457[[#This Row],[L(mm)]]/2)</f>
        <v>1.9751454257006876E-3</v>
      </c>
      <c r="S137" s="145">
        <f>Table1123457[[#This Row],[M (KN.mm)]]/(Table1123457[[#This Row],[a (mm)]]*Table1123457[[#This Row],[b (mm)]]*Table1123457[[#This Row],[h (mm)]]*Table1123457[[#This Row],[L(mm)]]/2)</f>
        <v>2.438451142840355E-6</v>
      </c>
      <c r="T137" s="111">
        <f>G137/($AL$5*AH137*0.001*Table1123457[[#This Row],[pho (%)]])</f>
        <v>9.1390526692598464E-6</v>
      </c>
      <c r="U137" s="145">
        <f>Table1123457[[#This Row],[M (KN.mm)]]/(Table1123457[[#This Row],[b (mm)]]*Table1123457[[#This Row],[d (mm)]]*Table1123457[[#This Row],[pho (%)]])</f>
        <v>2.1340749414519906</v>
      </c>
      <c r="V137" s="145">
        <f>E137*224.8/(2*SQRT(Table1123457[[#This Row],[fc (Mpa)]]*145.037)*Table1123457[[#This Row],[b (mm)]]*Table1123457[[#This Row],[d (mm)]]*(1/25.4)^2)</f>
        <v>2.1332148210824222</v>
      </c>
      <c r="W137" s="145">
        <f>Table1123457[[#This Row],[M (KN.mm)]]/$G$140</f>
        <v>0.98418972332015797</v>
      </c>
      <c r="X137" s="111">
        <f t="shared" si="23"/>
        <v>2.1332148210824222</v>
      </c>
      <c r="Y137" s="111">
        <v>810</v>
      </c>
      <c r="Z137" s="111">
        <v>280</v>
      </c>
      <c r="AA137" s="111">
        <v>310</v>
      </c>
      <c r="AB137" s="111">
        <v>122</v>
      </c>
      <c r="AC137" s="7">
        <v>38.1</v>
      </c>
      <c r="AD137" s="135">
        <f>Table1123457[[#This Row],[pho (%)]]/100*Table1123457[[#This Row],[b (mm)]]*Table1123457[[#This Row],[h (mm)]]</f>
        <v>313.90600000000001</v>
      </c>
      <c r="AE137" s="135">
        <v>0.83</v>
      </c>
      <c r="AF137" s="160">
        <v>525</v>
      </c>
      <c r="AG137" s="135">
        <f>(1/3-0.21*(MIN(Table1123457[[#This Row],[b (mm)]],AA137)/MAX(Table1123457[[#This Row],[b (mm)]],AA137))*(MIN(Table1123457[[#This Row],[b (mm)]],AA137)^4/(12*MAX(Table1123457[[#This Row],[b (mm)]],AA137)^4)))*MAX(Table1123457[[#This Row],[b (mm)]],AA137)*MIN(Table1123457[[#This Row],[b (mm)]],AA137)^3</f>
        <v>187544629.45683298</v>
      </c>
      <c r="AH137" s="135">
        <f>Table1123457[[#This Row],[b (mm)]]*AA137^3/12</f>
        <v>302875166.66666669</v>
      </c>
      <c r="AI137" s="111">
        <v>1620</v>
      </c>
      <c r="AK137" s="107"/>
    </row>
    <row r="138" spans="1:37" x14ac:dyDescent="0.25">
      <c r="A138" s="263" t="s">
        <v>162</v>
      </c>
      <c r="B138" s="263">
        <v>8</v>
      </c>
      <c r="C138" s="185">
        <v>137</v>
      </c>
      <c r="D138" s="185">
        <f>Table1123457[[#This Row],[a (mm)]]/Table1123457[[#This Row],[d (mm)]]</f>
        <v>2.8928571428571428</v>
      </c>
      <c r="E138" s="264">
        <v>74.900000000000006</v>
      </c>
      <c r="F138" s="137">
        <f>Table1123457[[#This Row],[d (mm)]]</f>
        <v>280</v>
      </c>
      <c r="G138" s="135">
        <f t="shared" si="19"/>
        <v>60669.000000000007</v>
      </c>
      <c r="H138" s="135">
        <f t="shared" si="20"/>
        <v>7.6057227214173624E-6</v>
      </c>
      <c r="I138" s="135">
        <f>G138/(Table1123457[[#This Row],[b (mm)]]*Z138^2)</f>
        <v>6.3429449648711948E-3</v>
      </c>
      <c r="J138" s="135">
        <f t="shared" si="21"/>
        <v>1.3147702997530655</v>
      </c>
      <c r="K138" s="135">
        <f t="shared" si="22"/>
        <v>1.2718840978703537E-5</v>
      </c>
      <c r="L138" s="135">
        <f>E138/(Table1123457[[#This Row],[b (mm)]]*Z138)</f>
        <v>2.1926229508196721E-3</v>
      </c>
      <c r="M138" s="135">
        <f>Table1123457[[#This Row],[M (KN.mm)]]/(Table1123457[[#This Row],[b (mm)]]*Table1123457[[#This Row],[d (mm)]])</f>
        <v>1.7760245901639347</v>
      </c>
      <c r="N138" s="135">
        <f>Table1123457[[#This Row],[M (KN.mm)]]/(Table1123457[[#This Row],[b (mm)]]*Table1123457[[#This Row],[h (mm)]])</f>
        <v>1.6041512427287152</v>
      </c>
      <c r="O138" s="145">
        <f>Table1123457[[#This Row],[M (KN.mm)]]/(Table1123457[[#This Row],[b (mm)]]*Table1123457[[#This Row],[h (mm)]]*Table1123457[[#This Row],[L(mm)]])</f>
        <v>9.9021681649920693E-4</v>
      </c>
      <c r="P138" s="145">
        <f>Table1123457[[#This Row],[M (KN.mm)]]/(Table1123457[[#This Row],[b (mm)]]*Table1123457[[#This Row],[d (mm)]]*Table1123457[[#This Row],[L(mm)]])</f>
        <v>1.0963114754098363E-3</v>
      </c>
      <c r="Q138" s="145">
        <f>Table1123457[[#This Row],[M (KN.mm)]]/(Table1123457[[#This Row],[b (mm)]]*Table1123457[[#This Row],[h (mm)]]*Table1123457[[#This Row],[L(mm)]]*Table1123457[[#This Row],[fc (Mpa)]])</f>
        <v>2.5989942690267896E-5</v>
      </c>
      <c r="R138" s="145">
        <f>Table1123457[[#This Row],[M (KN.mm)]]/(Table1123457[[#This Row],[b (mm)]]*Table1123457[[#This Row],[h (mm)]]*Table1123457[[#This Row],[L(mm)]]/2)</f>
        <v>1.9804336329984139E-3</v>
      </c>
      <c r="S138" s="145">
        <f>Table1123457[[#This Row],[M (KN.mm)]]/(Table1123457[[#This Row],[a (mm)]]*Table1123457[[#This Row],[b (mm)]]*Table1123457[[#This Row],[h (mm)]]*Table1123457[[#This Row],[L(mm)]]/2)</f>
        <v>2.4449797938252021E-6</v>
      </c>
      <c r="T138" s="111">
        <f>G138/($AL$5*AH138*0.001*Table1123457[[#This Row],[pho (%)]])</f>
        <v>9.1635213511052553E-6</v>
      </c>
      <c r="U138" s="145">
        <f>Table1123457[[#This Row],[M (KN.mm)]]/(Table1123457[[#This Row],[b (mm)]]*Table1123457[[#This Row],[d (mm)]]*Table1123457[[#This Row],[pho (%)]])</f>
        <v>2.139788662848114</v>
      </c>
      <c r="V138" s="145">
        <f>E138*224.8/(2*SQRT(Table1123457[[#This Row],[fc (Mpa)]]*145.037)*Table1123457[[#This Row],[b (mm)]]*Table1123457[[#This Row],[d (mm)]]*(1/25.4)^2)</f>
        <v>2.1389262396127635</v>
      </c>
      <c r="W138" s="145">
        <f>Table1123457[[#This Row],[M (KN.mm)]]/$G$140</f>
        <v>0.98682476943346509</v>
      </c>
      <c r="X138" s="111">
        <f t="shared" si="23"/>
        <v>2.1389262396127635</v>
      </c>
      <c r="Y138" s="111">
        <v>810</v>
      </c>
      <c r="Z138" s="111">
        <v>280</v>
      </c>
      <c r="AA138" s="111">
        <v>310</v>
      </c>
      <c r="AB138" s="111">
        <v>122</v>
      </c>
      <c r="AC138" s="7">
        <v>38.1</v>
      </c>
      <c r="AD138" s="135">
        <f>Table1123457[[#This Row],[pho (%)]]/100*Table1123457[[#This Row],[b (mm)]]*Table1123457[[#This Row],[h (mm)]]</f>
        <v>313.90600000000001</v>
      </c>
      <c r="AE138" s="135">
        <v>0.83</v>
      </c>
      <c r="AF138" s="160">
        <v>525</v>
      </c>
      <c r="AG138" s="135">
        <f>(1/3-0.21*(MIN(Table1123457[[#This Row],[b (mm)]],AA138)/MAX(Table1123457[[#This Row],[b (mm)]],AA138))*(MIN(Table1123457[[#This Row],[b (mm)]],AA138)^4/(12*MAX(Table1123457[[#This Row],[b (mm)]],AA138)^4)))*MAX(Table1123457[[#This Row],[b (mm)]],AA138)*MIN(Table1123457[[#This Row],[b (mm)]],AA138)^3</f>
        <v>187544629.45683298</v>
      </c>
      <c r="AH138" s="135">
        <f>Table1123457[[#This Row],[b (mm)]]*AA138^3/12</f>
        <v>302875166.66666669</v>
      </c>
      <c r="AI138" s="111">
        <v>1620</v>
      </c>
      <c r="AK138" s="107"/>
    </row>
    <row r="139" spans="1:37" x14ac:dyDescent="0.25">
      <c r="A139" s="263" t="s">
        <v>162</v>
      </c>
      <c r="B139" s="263">
        <v>9</v>
      </c>
      <c r="C139" s="185">
        <v>138</v>
      </c>
      <c r="D139" s="185">
        <f>Table1123457[[#This Row],[a (mm)]]/Table1123457[[#This Row],[d (mm)]]</f>
        <v>2.8928571428571428</v>
      </c>
      <c r="E139" s="264">
        <v>75</v>
      </c>
      <c r="F139" s="137">
        <f>Table1123457[[#This Row],[d (mm)]]</f>
        <v>280</v>
      </c>
      <c r="G139" s="135">
        <f t="shared" si="19"/>
        <v>60750</v>
      </c>
      <c r="H139" s="135">
        <f t="shared" si="20"/>
        <v>7.6158772243832059E-6</v>
      </c>
      <c r="I139" s="135">
        <f>G139/(Table1123457[[#This Row],[b (mm)]]*Z139^2)</f>
        <v>6.3514135162261627E-3</v>
      </c>
      <c r="J139" s="135">
        <f t="shared" si="21"/>
        <v>1.3165256673094778</v>
      </c>
      <c r="K139" s="135">
        <f t="shared" si="22"/>
        <v>1.2735822074803273E-5</v>
      </c>
      <c r="L139" s="135">
        <f>E139/(Table1123457[[#This Row],[b (mm)]]*Z139)</f>
        <v>2.195550351288056E-3</v>
      </c>
      <c r="M139" s="135">
        <f>Table1123457[[#This Row],[M (KN.mm)]]/(Table1123457[[#This Row],[b (mm)]]*Table1123457[[#This Row],[d (mm)]])</f>
        <v>1.7783957845433256</v>
      </c>
      <c r="N139" s="135">
        <f>Table1123457[[#This Row],[M (KN.mm)]]/(Table1123457[[#This Row],[b (mm)]]*Table1123457[[#This Row],[h (mm)]])</f>
        <v>1.606292966684294</v>
      </c>
      <c r="O139" s="145">
        <f>Table1123457[[#This Row],[M (KN.mm)]]/(Table1123457[[#This Row],[b (mm)]]*Table1123457[[#This Row],[h (mm)]]*Table1123457[[#This Row],[L(mm)]])</f>
        <v>9.9153886832363839E-4</v>
      </c>
      <c r="P139" s="145">
        <f>Table1123457[[#This Row],[M (KN.mm)]]/(Table1123457[[#This Row],[b (mm)]]*Table1123457[[#This Row],[d (mm)]]*Table1123457[[#This Row],[L(mm)]])</f>
        <v>1.097775175644028E-3</v>
      </c>
      <c r="Q139" s="145">
        <f>Table1123457[[#This Row],[M (KN.mm)]]/(Table1123457[[#This Row],[b (mm)]]*Table1123457[[#This Row],[h (mm)]]*Table1123457[[#This Row],[L(mm)]]*Table1123457[[#This Row],[fc (Mpa)]])</f>
        <v>2.6024642213218853E-5</v>
      </c>
      <c r="R139" s="145">
        <f>Table1123457[[#This Row],[M (KN.mm)]]/(Table1123457[[#This Row],[b (mm)]]*Table1123457[[#This Row],[h (mm)]]*Table1123457[[#This Row],[L(mm)]]/2)</f>
        <v>1.9830777366472768E-3</v>
      </c>
      <c r="S139" s="145">
        <f>Table1123457[[#This Row],[M (KN.mm)]]/(Table1123457[[#This Row],[a (mm)]]*Table1123457[[#This Row],[b (mm)]]*Table1123457[[#This Row],[h (mm)]]*Table1123457[[#This Row],[L(mm)]]/2)</f>
        <v>2.4482441193176253E-6</v>
      </c>
      <c r="T139" s="111">
        <f>G139/($AL$5*AH139*0.001*Table1123457[[#This Row],[pho (%)]])</f>
        <v>9.175755692027959E-6</v>
      </c>
      <c r="U139" s="145">
        <f>Table1123457[[#This Row],[M (KN.mm)]]/(Table1123457[[#This Row],[b (mm)]]*Table1123457[[#This Row],[d (mm)]]*Table1123457[[#This Row],[pho (%)]])</f>
        <v>2.1426455235461752</v>
      </c>
      <c r="V139" s="145">
        <f>E139*224.8/(2*SQRT(Table1123457[[#This Row],[fc (Mpa)]]*145.037)*Table1123457[[#This Row],[b (mm)]]*Table1123457[[#This Row],[d (mm)]]*(1/25.4)^2)</f>
        <v>2.1417819488779339</v>
      </c>
      <c r="W139" s="145">
        <f>Table1123457[[#This Row],[M (KN.mm)]]/$G$140</f>
        <v>0.98814229249011842</v>
      </c>
      <c r="X139" s="111">
        <f t="shared" si="23"/>
        <v>2.1417819488779339</v>
      </c>
      <c r="Y139" s="111">
        <v>810</v>
      </c>
      <c r="Z139" s="111">
        <v>280</v>
      </c>
      <c r="AA139" s="111">
        <v>310</v>
      </c>
      <c r="AB139" s="111">
        <v>122</v>
      </c>
      <c r="AC139" s="7">
        <v>38.1</v>
      </c>
      <c r="AD139" s="135">
        <f>Table1123457[[#This Row],[pho (%)]]/100*Table1123457[[#This Row],[b (mm)]]*Table1123457[[#This Row],[h (mm)]]</f>
        <v>313.90600000000001</v>
      </c>
      <c r="AE139" s="135">
        <v>0.83</v>
      </c>
      <c r="AF139" s="160">
        <v>525</v>
      </c>
      <c r="AG139" s="135">
        <f>(1/3-0.21*(MIN(Table1123457[[#This Row],[b (mm)]],AA139)/MAX(Table1123457[[#This Row],[b (mm)]],AA139))*(MIN(Table1123457[[#This Row],[b (mm)]],AA139)^4/(12*MAX(Table1123457[[#This Row],[b (mm)]],AA139)^4)))*MAX(Table1123457[[#This Row],[b (mm)]],AA139)*MIN(Table1123457[[#This Row],[b (mm)]],AA139)^3</f>
        <v>187544629.45683298</v>
      </c>
      <c r="AH139" s="135">
        <f>Table1123457[[#This Row],[b (mm)]]*AA139^3/12</f>
        <v>302875166.66666669</v>
      </c>
      <c r="AI139" s="111">
        <v>1620</v>
      </c>
      <c r="AK139" s="107"/>
    </row>
    <row r="140" spans="1:37" x14ac:dyDescent="0.25">
      <c r="A140" s="263" t="s">
        <v>162</v>
      </c>
      <c r="B140" s="263" t="s">
        <v>141</v>
      </c>
      <c r="C140" s="185">
        <v>139</v>
      </c>
      <c r="D140" s="185">
        <f>Table1123457[[#This Row],[a (mm)]]/Table1123457[[#This Row],[d (mm)]]</f>
        <v>2.8928571428571428</v>
      </c>
      <c r="E140" s="264">
        <v>75.900000000000006</v>
      </c>
      <c r="F140" s="137">
        <f>Table1123457[[#This Row],[d (mm)]]</f>
        <v>280</v>
      </c>
      <c r="G140" s="135">
        <f t="shared" si="19"/>
        <v>61479.000000000007</v>
      </c>
      <c r="H140" s="135">
        <f t="shared" si="20"/>
        <v>7.7072677510758047E-6</v>
      </c>
      <c r="I140" s="135">
        <f>G140/(Table1123457[[#This Row],[b (mm)]]*Z140^2)</f>
        <v>6.4276304784208777E-3</v>
      </c>
      <c r="J140" s="135">
        <f t="shared" si="21"/>
        <v>1.3323239753171918</v>
      </c>
      <c r="K140" s="135">
        <f t="shared" si="22"/>
        <v>1.2888651939700913E-5</v>
      </c>
      <c r="L140" s="135">
        <f>E140/(Table1123457[[#This Row],[b (mm)]]*Z140)</f>
        <v>2.2218969555035132E-3</v>
      </c>
      <c r="M140" s="135">
        <f>Table1123457[[#This Row],[M (KN.mm)]]/(Table1123457[[#This Row],[b (mm)]]*Table1123457[[#This Row],[d (mm)]])</f>
        <v>1.7997365339578457</v>
      </c>
      <c r="N140" s="135">
        <f>Table1123457[[#This Row],[M (KN.mm)]]/(Table1123457[[#This Row],[b (mm)]]*Table1123457[[#This Row],[h (mm)]])</f>
        <v>1.6255684822845058</v>
      </c>
      <c r="O140" s="145">
        <f>Table1123457[[#This Row],[M (KN.mm)]]/(Table1123457[[#This Row],[b (mm)]]*Table1123457[[#This Row],[h (mm)]]*Table1123457[[#This Row],[L(mm)]])</f>
        <v>1.003437334743522E-3</v>
      </c>
      <c r="P140" s="145">
        <f>Table1123457[[#This Row],[M (KN.mm)]]/(Table1123457[[#This Row],[b (mm)]]*Table1123457[[#This Row],[d (mm)]]*Table1123457[[#This Row],[L(mm)]])</f>
        <v>1.1109484777517566E-3</v>
      </c>
      <c r="Q140" s="145">
        <f>Table1123457[[#This Row],[M (KN.mm)]]/(Table1123457[[#This Row],[b (mm)]]*Table1123457[[#This Row],[h (mm)]]*Table1123457[[#This Row],[L(mm)]]*Table1123457[[#This Row],[fc (Mpa)]])</f>
        <v>2.6336937919777482E-5</v>
      </c>
      <c r="R140" s="145">
        <f>Table1123457[[#This Row],[M (KN.mm)]]/(Table1123457[[#This Row],[b (mm)]]*Table1123457[[#This Row],[h (mm)]]*Table1123457[[#This Row],[L(mm)]]/2)</f>
        <v>2.006874669487044E-3</v>
      </c>
      <c r="S140" s="145">
        <f>Table1123457[[#This Row],[M (KN.mm)]]/(Table1123457[[#This Row],[a (mm)]]*Table1123457[[#This Row],[b (mm)]]*Table1123457[[#This Row],[h (mm)]]*Table1123457[[#This Row],[L(mm)]]/2)</f>
        <v>2.4776230487494374E-6</v>
      </c>
      <c r="T140" s="111">
        <f>G140/($AL$5*AH140*0.001*Table1123457[[#This Row],[pho (%)]])</f>
        <v>9.2858647603322948E-6</v>
      </c>
      <c r="U140" s="145">
        <f>Table1123457[[#This Row],[M (KN.mm)]]/(Table1123457[[#This Row],[b (mm)]]*Table1123457[[#This Row],[d (mm)]]*Table1123457[[#This Row],[pho (%)]])</f>
        <v>2.1683572698287299</v>
      </c>
      <c r="V140" s="145">
        <f>E140*224.8/(2*SQRT(Table1123457[[#This Row],[fc (Mpa)]]*145.037)*Table1123457[[#This Row],[b (mm)]]*Table1123457[[#This Row],[d (mm)]]*(1/25.4)^2)</f>
        <v>2.1674833322644695</v>
      </c>
      <c r="W140" s="145">
        <f>Table1123457[[#This Row],[M (KN.mm)]]/$G$140</f>
        <v>1</v>
      </c>
      <c r="X140" s="111">
        <f t="shared" si="23"/>
        <v>2.1674833322644695</v>
      </c>
      <c r="Y140" s="111">
        <v>810</v>
      </c>
      <c r="Z140" s="111">
        <v>280</v>
      </c>
      <c r="AA140" s="111">
        <v>310</v>
      </c>
      <c r="AB140" s="111">
        <v>122</v>
      </c>
      <c r="AC140" s="7">
        <v>38.1</v>
      </c>
      <c r="AD140" s="135">
        <f>Table1123457[[#This Row],[pho (%)]]/100*Table1123457[[#This Row],[b (mm)]]*Table1123457[[#This Row],[h (mm)]]</f>
        <v>313.90600000000001</v>
      </c>
      <c r="AE140" s="135">
        <v>0.83</v>
      </c>
      <c r="AF140" s="160">
        <v>525</v>
      </c>
      <c r="AG140" s="135">
        <f>(1/3-0.21*(MIN(Table1123457[[#This Row],[b (mm)]],AA140)/MAX(Table1123457[[#This Row],[b (mm)]],AA140))*(MIN(Table1123457[[#This Row],[b (mm)]],AA140)^4/(12*MAX(Table1123457[[#This Row],[b (mm)]],AA140)^4)))*MAX(Table1123457[[#This Row],[b (mm)]],AA140)*MIN(Table1123457[[#This Row],[b (mm)]],AA140)^3</f>
        <v>187544629.45683298</v>
      </c>
      <c r="AH140" s="135">
        <f>Table1123457[[#This Row],[b (mm)]]*AA140^3/12</f>
        <v>302875166.66666669</v>
      </c>
      <c r="AI140" s="111">
        <v>1620</v>
      </c>
      <c r="AK140" s="107"/>
    </row>
    <row r="141" spans="1:37" x14ac:dyDescent="0.25">
      <c r="A141" s="257" t="s">
        <v>163</v>
      </c>
      <c r="B141" s="257">
        <v>1</v>
      </c>
      <c r="C141" s="185">
        <v>140</v>
      </c>
      <c r="D141" s="185">
        <f>Table1123457[[#This Row],[a (mm)]]/Table1123457[[#This Row],[d (mm)]]</f>
        <v>2.8928571428571428</v>
      </c>
      <c r="E141" s="258">
        <v>19.3</v>
      </c>
      <c r="F141" s="137">
        <f>Table1123457[[#This Row],[d (mm)]]</f>
        <v>280</v>
      </c>
      <c r="G141" s="135">
        <f t="shared" si="19"/>
        <v>15633</v>
      </c>
      <c r="H141" s="135">
        <f t="shared" si="20"/>
        <v>1.959819072407945E-6</v>
      </c>
      <c r="I141" s="135">
        <f>G141/(Table1123457[[#This Row],[b (mm)]]*Z141^2)</f>
        <v>1.6344304115088659E-3</v>
      </c>
      <c r="J141" s="135">
        <f t="shared" si="21"/>
        <v>0.33878593838763899</v>
      </c>
      <c r="K141" s="135">
        <f t="shared" si="22"/>
        <v>3.2773515472493757E-6</v>
      </c>
      <c r="L141" s="135">
        <f>E141/(Table1123457[[#This Row],[b (mm)]]*Z141)</f>
        <v>5.6498829039812644E-4</v>
      </c>
      <c r="M141" s="135">
        <f>Table1123457[[#This Row],[M (KN.mm)]]/(Table1123457[[#This Row],[b (mm)]]*Table1123457[[#This Row],[d (mm)]])</f>
        <v>0.45764051522248245</v>
      </c>
      <c r="N141" s="135">
        <f>Table1123457[[#This Row],[M (KN.mm)]]/(Table1123457[[#This Row],[b (mm)]]*Table1123457[[#This Row],[h (mm)]])</f>
        <v>0.41335272342675833</v>
      </c>
      <c r="O141" s="145">
        <f>Table1123457[[#This Row],[M (KN.mm)]]/(Table1123457[[#This Row],[b (mm)]]*Table1123457[[#This Row],[h (mm)]]*Table1123457[[#This Row],[L(mm)]])</f>
        <v>2.5515600211528292E-4</v>
      </c>
      <c r="P141" s="145">
        <f>Table1123457[[#This Row],[M (KN.mm)]]/(Table1123457[[#This Row],[b (mm)]]*Table1123457[[#This Row],[d (mm)]]*Table1123457[[#This Row],[L(mm)]])</f>
        <v>2.8249414519906322E-4</v>
      </c>
      <c r="Q141" s="145">
        <f>Table1123457[[#This Row],[M (KN.mm)]]/(Table1123457[[#This Row],[b (mm)]]*Table1123457[[#This Row],[h (mm)]]*Table1123457[[#This Row],[L(mm)]]*Table1123457[[#This Row],[fc (Mpa)]])</f>
        <v>8.7682474953705466E-6</v>
      </c>
      <c r="R141" s="145">
        <f>Table1123457[[#This Row],[M (KN.mm)]]/(Table1123457[[#This Row],[b (mm)]]*Table1123457[[#This Row],[h (mm)]]*Table1123457[[#This Row],[L(mm)]]/2)</f>
        <v>5.1031200423056584E-4</v>
      </c>
      <c r="S141" s="145">
        <f>Table1123457[[#This Row],[M (KN.mm)]]/(Table1123457[[#This Row],[a (mm)]]*Table1123457[[#This Row],[b (mm)]]*Table1123457[[#This Row],[h (mm)]]*Table1123457[[#This Row],[L(mm)]]/2)</f>
        <v>6.3001482003773561E-7</v>
      </c>
      <c r="T141" s="111">
        <f>G141/($AL$5*AH141*0.001*Table1123457[[#This Row],[pho (%)]])</f>
        <v>2.3612277980818613E-6</v>
      </c>
      <c r="U141" s="145">
        <f>Table1123457[[#This Row],[M (KN.mm)]]/(Table1123457[[#This Row],[b (mm)]]*Table1123457[[#This Row],[d (mm)]]*Table1123457[[#This Row],[pho (%)]])</f>
        <v>0.55137411472588249</v>
      </c>
      <c r="V141" s="145">
        <f>E141*224.8/(2*SQRT(Table1123457[[#This Row],[fc (Mpa)]]*145.037)*Table1123457[[#This Row],[b (mm)]]*Table1123457[[#This Row],[d (mm)]]*(1/25.4)^2)</f>
        <v>0.63064839230833269</v>
      </c>
      <c r="W141" s="145">
        <f>Table1123457[[#This Row],[M (KN.mm)]]/$G$150</f>
        <v>0.2325301204819277</v>
      </c>
      <c r="X141" s="111">
        <f t="shared" si="23"/>
        <v>0.63064839230833269</v>
      </c>
      <c r="Y141" s="111">
        <v>810</v>
      </c>
      <c r="Z141" s="111">
        <v>280</v>
      </c>
      <c r="AA141" s="111">
        <v>310</v>
      </c>
      <c r="AB141" s="111">
        <v>122</v>
      </c>
      <c r="AC141" s="7">
        <v>29.1</v>
      </c>
      <c r="AD141" s="135">
        <f>Table1123457[[#This Row],[pho (%)]]/100*Table1123457[[#This Row],[b (mm)]]*Table1123457[[#This Row],[h (mm)]]</f>
        <v>313.90600000000001</v>
      </c>
      <c r="AE141" s="135">
        <v>0.83</v>
      </c>
      <c r="AF141" s="160">
        <v>525</v>
      </c>
      <c r="AG141" s="135">
        <f>(1/3-0.21*(MIN(Table1123457[[#This Row],[b (mm)]],AA141)/MAX(Table1123457[[#This Row],[b (mm)]],AA141))*(MIN(Table1123457[[#This Row],[b (mm)]],AA141)^4/(12*MAX(Table1123457[[#This Row],[b (mm)]],AA141)^4)))*MAX(Table1123457[[#This Row],[b (mm)]],AA141)*MIN(Table1123457[[#This Row],[b (mm)]],AA141)^3</f>
        <v>187544629.45683298</v>
      </c>
      <c r="AH141" s="135">
        <f>Table1123457[[#This Row],[b (mm)]]*AA141^3/12</f>
        <v>302875166.66666669</v>
      </c>
      <c r="AI141" s="111">
        <v>1620</v>
      </c>
      <c r="AK141" s="107"/>
    </row>
    <row r="142" spans="1:37" x14ac:dyDescent="0.25">
      <c r="A142" s="257" t="s">
        <v>163</v>
      </c>
      <c r="B142" s="257">
        <v>2</v>
      </c>
      <c r="C142" s="185">
        <v>141</v>
      </c>
      <c r="D142" s="185">
        <f>Table1123457[[#This Row],[a (mm)]]/Table1123457[[#This Row],[d (mm)]]</f>
        <v>2.8928571428571428</v>
      </c>
      <c r="E142" s="258">
        <v>27.8</v>
      </c>
      <c r="F142" s="137">
        <f>Table1123457[[#This Row],[d (mm)]]</f>
        <v>280</v>
      </c>
      <c r="G142" s="135">
        <f t="shared" si="19"/>
        <v>22518</v>
      </c>
      <c r="H142" s="135">
        <f t="shared" si="20"/>
        <v>2.8229518245047085E-6</v>
      </c>
      <c r="I142" s="135">
        <f>G142/(Table1123457[[#This Row],[b (mm)]]*Z142^2)</f>
        <v>2.3542572766811643E-3</v>
      </c>
      <c r="J142" s="135">
        <f t="shared" si="21"/>
        <v>0.48799218068271316</v>
      </c>
      <c r="K142" s="135">
        <f t="shared" si="22"/>
        <v>4.7207447157270804E-6</v>
      </c>
      <c r="L142" s="135">
        <f>E142/(Table1123457[[#This Row],[b (mm)]]*Z142)</f>
        <v>8.1381733021077289E-4</v>
      </c>
      <c r="M142" s="135">
        <f>Table1123457[[#This Row],[M (KN.mm)]]/(Table1123457[[#This Row],[b (mm)]]*Table1123457[[#This Row],[d (mm)]])</f>
        <v>0.65919203747072597</v>
      </c>
      <c r="N142" s="135">
        <f>Table1123457[[#This Row],[M (KN.mm)]]/(Table1123457[[#This Row],[b (mm)]]*Table1123457[[#This Row],[h (mm)]])</f>
        <v>0.59539925965097829</v>
      </c>
      <c r="O142" s="145">
        <f>Table1123457[[#This Row],[M (KN.mm)]]/(Table1123457[[#This Row],[b (mm)]]*Table1123457[[#This Row],[h (mm)]]*Table1123457[[#This Row],[L(mm)]])</f>
        <v>3.6753040719196192E-4</v>
      </c>
      <c r="P142" s="145">
        <f>Table1123457[[#This Row],[M (KN.mm)]]/(Table1123457[[#This Row],[b (mm)]]*Table1123457[[#This Row],[d (mm)]]*Table1123457[[#This Row],[L(mm)]])</f>
        <v>4.0690866510538644E-4</v>
      </c>
      <c r="Q142" s="145">
        <f>Table1123457[[#This Row],[M (KN.mm)]]/(Table1123457[[#This Row],[b (mm)]]*Table1123457[[#This Row],[h (mm)]]*Table1123457[[#This Row],[L(mm)]]*Table1123457[[#This Row],[fc (Mpa)]])</f>
        <v>1.262991090006742E-5</v>
      </c>
      <c r="R142" s="145">
        <f>Table1123457[[#This Row],[M (KN.mm)]]/(Table1123457[[#This Row],[b (mm)]]*Table1123457[[#This Row],[h (mm)]]*Table1123457[[#This Row],[L(mm)]]/2)</f>
        <v>7.3506081438392385E-4</v>
      </c>
      <c r="S142" s="145">
        <f>Table1123457[[#This Row],[M (KN.mm)]]/(Table1123457[[#This Row],[a (mm)]]*Table1123457[[#This Row],[b (mm)]]*Table1123457[[#This Row],[h (mm)]]*Table1123457[[#This Row],[L(mm)]]/2)</f>
        <v>9.0748248689373314E-7</v>
      </c>
      <c r="T142" s="111">
        <f>G142/($AL$5*AH142*0.001*Table1123457[[#This Row],[pho (%)]])</f>
        <v>3.4011467765116966E-6</v>
      </c>
      <c r="U142" s="145">
        <f>Table1123457[[#This Row],[M (KN.mm)]]/(Table1123457[[#This Row],[b (mm)]]*Table1123457[[#This Row],[d (mm)]]*Table1123457[[#This Row],[pho (%)]])</f>
        <v>0.79420727406111569</v>
      </c>
      <c r="V142" s="145">
        <f>E142*224.8/(2*SQRT(Table1123457[[#This Row],[fc (Mpa)]]*145.037)*Table1123457[[#This Row],[b (mm)]]*Table1123457[[#This Row],[d (mm)]]*(1/25.4)^2)</f>
        <v>0.90839509358402326</v>
      </c>
      <c r="W142" s="145">
        <f>Table1123457[[#This Row],[M (KN.mm)]]/$G$150</f>
        <v>0.33493975903614459</v>
      </c>
      <c r="X142" s="111">
        <f t="shared" si="23"/>
        <v>0.90839509358402326</v>
      </c>
      <c r="Y142" s="111">
        <v>810</v>
      </c>
      <c r="Z142" s="111">
        <v>280</v>
      </c>
      <c r="AA142" s="111">
        <v>310</v>
      </c>
      <c r="AB142" s="111">
        <v>122</v>
      </c>
      <c r="AC142" s="7">
        <v>29.1</v>
      </c>
      <c r="AD142" s="135">
        <f>Table1123457[[#This Row],[pho (%)]]/100*Table1123457[[#This Row],[b (mm)]]*Table1123457[[#This Row],[h (mm)]]</f>
        <v>313.90600000000001</v>
      </c>
      <c r="AE142" s="135">
        <v>0.83</v>
      </c>
      <c r="AF142" s="160">
        <v>525</v>
      </c>
      <c r="AG142" s="135">
        <f>(1/3-0.21*(MIN(Table1123457[[#This Row],[b (mm)]],AA142)/MAX(Table1123457[[#This Row],[b (mm)]],AA142))*(MIN(Table1123457[[#This Row],[b (mm)]],AA142)^4/(12*MAX(Table1123457[[#This Row],[b (mm)]],AA142)^4)))*MAX(Table1123457[[#This Row],[b (mm)]],AA142)*MIN(Table1123457[[#This Row],[b (mm)]],AA142)^3</f>
        <v>187544629.45683298</v>
      </c>
      <c r="AH142" s="135">
        <f>Table1123457[[#This Row],[b (mm)]]*AA142^3/12</f>
        <v>302875166.66666669</v>
      </c>
      <c r="AI142" s="111">
        <v>1620</v>
      </c>
      <c r="AK142" s="107"/>
    </row>
    <row r="143" spans="1:37" x14ac:dyDescent="0.25">
      <c r="A143" s="257" t="s">
        <v>163</v>
      </c>
      <c r="B143" s="257">
        <v>3</v>
      </c>
      <c r="C143" s="185">
        <v>142</v>
      </c>
      <c r="D143" s="185">
        <f>Table1123457[[#This Row],[a (mm)]]/Table1123457[[#This Row],[d (mm)]]</f>
        <v>2.8928571428571428</v>
      </c>
      <c r="E143" s="258">
        <v>36.700000000000003</v>
      </c>
      <c r="F143" s="137">
        <f>Table1123457[[#This Row],[d (mm)]]</f>
        <v>280</v>
      </c>
      <c r="G143" s="135">
        <f t="shared" si="19"/>
        <v>29727.000000000004</v>
      </c>
      <c r="H143" s="135">
        <f t="shared" si="20"/>
        <v>3.726702588464849E-6</v>
      </c>
      <c r="I143" s="135">
        <f>G143/(Table1123457[[#This Row],[b (mm)]]*Z143^2)</f>
        <v>3.107958347273336E-3</v>
      </c>
      <c r="J143" s="135">
        <f t="shared" si="21"/>
        <v>0.64421989320343798</v>
      </c>
      <c r="K143" s="135">
        <f t="shared" si="22"/>
        <v>6.2320622686037354E-6</v>
      </c>
      <c r="L143" s="135">
        <f>E143/(Table1123457[[#This Row],[b (mm)]]*Z143)</f>
        <v>1.0743559718969556E-3</v>
      </c>
      <c r="M143" s="135">
        <f>Table1123457[[#This Row],[M (KN.mm)]]/(Table1123457[[#This Row],[b (mm)]]*Table1123457[[#This Row],[d (mm)]])</f>
        <v>0.87022833723653403</v>
      </c>
      <c r="N143" s="135">
        <f>Table1123457[[#This Row],[M (KN.mm)]]/(Table1123457[[#This Row],[b (mm)]]*Table1123457[[#This Row],[h (mm)]])</f>
        <v>0.78601269169751464</v>
      </c>
      <c r="O143" s="145">
        <f>Table1123457[[#This Row],[M (KN.mm)]]/(Table1123457[[#This Row],[b (mm)]]*Table1123457[[#This Row],[h (mm)]]*Table1123457[[#This Row],[L(mm)]])</f>
        <v>4.8519301956636706E-4</v>
      </c>
      <c r="P143" s="145">
        <f>Table1123457[[#This Row],[M (KN.mm)]]/(Table1123457[[#This Row],[b (mm)]]*Table1123457[[#This Row],[d (mm)]]*Table1123457[[#This Row],[L(mm)]])</f>
        <v>5.3717798594847782E-4</v>
      </c>
      <c r="Q143" s="145">
        <f>Table1123457[[#This Row],[M (KN.mm)]]/(Table1123457[[#This Row],[b (mm)]]*Table1123457[[#This Row],[h (mm)]]*Table1123457[[#This Row],[L(mm)]]*Table1123457[[#This Row],[fc (Mpa)]])</f>
        <v>1.6673299641455912E-5</v>
      </c>
      <c r="R143" s="145">
        <f>Table1123457[[#This Row],[M (KN.mm)]]/(Table1123457[[#This Row],[b (mm)]]*Table1123457[[#This Row],[h (mm)]]*Table1123457[[#This Row],[L(mm)]]/2)</f>
        <v>9.7038603913273411E-4</v>
      </c>
      <c r="S143" s="145">
        <f>Table1123457[[#This Row],[M (KN.mm)]]/(Table1123457[[#This Row],[a (mm)]]*Table1123457[[#This Row],[b (mm)]]*Table1123457[[#This Row],[h (mm)]]*Table1123457[[#This Row],[L(mm)]]/2)</f>
        <v>1.1980074557194249E-6</v>
      </c>
      <c r="T143" s="111">
        <f>G143/($AL$5*AH143*0.001*Table1123457[[#This Row],[pho (%)]])</f>
        <v>4.4900031186323481E-6</v>
      </c>
      <c r="U143" s="145">
        <f>Table1123457[[#This Row],[M (KN.mm)]]/(Table1123457[[#This Row],[b (mm)]]*Table1123457[[#This Row],[d (mm)]]*Table1123457[[#This Row],[pho (%)]])</f>
        <v>1.0484678761885953</v>
      </c>
      <c r="V143" s="145">
        <f>E143*224.8/(2*SQRT(Table1123457[[#This Row],[fc (Mpa)]]*145.037)*Table1123457[[#This Row],[b (mm)]]*Table1123457[[#This Row],[d (mm)]]*(1/25.4)^2)</f>
        <v>1.199212227860923</v>
      </c>
      <c r="W143" s="145">
        <f>Table1123457[[#This Row],[M (KN.mm)]]/$G$150</f>
        <v>0.44216867469879523</v>
      </c>
      <c r="X143" s="111">
        <f t="shared" si="23"/>
        <v>1.199212227860923</v>
      </c>
      <c r="Y143" s="111">
        <v>810</v>
      </c>
      <c r="Z143" s="111">
        <v>280</v>
      </c>
      <c r="AA143" s="111">
        <v>310</v>
      </c>
      <c r="AB143" s="111">
        <v>122</v>
      </c>
      <c r="AC143" s="7">
        <v>29.1</v>
      </c>
      <c r="AD143" s="135">
        <f>Table1123457[[#This Row],[pho (%)]]/100*Table1123457[[#This Row],[b (mm)]]*Table1123457[[#This Row],[h (mm)]]</f>
        <v>313.90600000000001</v>
      </c>
      <c r="AE143" s="135">
        <v>0.83</v>
      </c>
      <c r="AF143" s="160">
        <v>525</v>
      </c>
      <c r="AG143" s="135">
        <f>(1/3-0.21*(MIN(Table1123457[[#This Row],[b (mm)]],AA143)/MAX(Table1123457[[#This Row],[b (mm)]],AA143))*(MIN(Table1123457[[#This Row],[b (mm)]],AA143)^4/(12*MAX(Table1123457[[#This Row],[b (mm)]],AA143)^4)))*MAX(Table1123457[[#This Row],[b (mm)]],AA143)*MIN(Table1123457[[#This Row],[b (mm)]],AA143)^3</f>
        <v>187544629.45683298</v>
      </c>
      <c r="AH143" s="135">
        <f>Table1123457[[#This Row],[b (mm)]]*AA143^3/12</f>
        <v>302875166.66666669</v>
      </c>
      <c r="AI143" s="111">
        <v>1620</v>
      </c>
      <c r="AK143" s="107"/>
    </row>
    <row r="144" spans="1:37" x14ac:dyDescent="0.25">
      <c r="A144" s="257" t="s">
        <v>163</v>
      </c>
      <c r="B144" s="257">
        <v>4</v>
      </c>
      <c r="C144" s="185">
        <v>143</v>
      </c>
      <c r="D144" s="185">
        <f>Table1123457[[#This Row],[a (mm)]]/Table1123457[[#This Row],[d (mm)]]</f>
        <v>2.8928571428571428</v>
      </c>
      <c r="E144" s="258">
        <v>43</v>
      </c>
      <c r="F144" s="137">
        <f>Table1123457[[#This Row],[d (mm)]]</f>
        <v>280</v>
      </c>
      <c r="G144" s="135">
        <f t="shared" si="19"/>
        <v>34830</v>
      </c>
      <c r="H144" s="135">
        <f t="shared" si="20"/>
        <v>4.3664362753130378E-6</v>
      </c>
      <c r="I144" s="135">
        <f>G144/(Table1123457[[#This Row],[b (mm)]]*Z144^2)</f>
        <v>3.6414770826363333E-3</v>
      </c>
      <c r="J144" s="135">
        <f t="shared" si="21"/>
        <v>0.75480804925743405</v>
      </c>
      <c r="K144" s="135">
        <f t="shared" si="22"/>
        <v>7.3018713228872097E-6</v>
      </c>
      <c r="L144" s="135">
        <f>E144/(Table1123457[[#This Row],[b (mm)]]*Z144)</f>
        <v>1.2587822014051523E-3</v>
      </c>
      <c r="M144" s="135">
        <f>Table1123457[[#This Row],[M (KN.mm)]]/(Table1123457[[#This Row],[b (mm)]]*Table1123457[[#This Row],[d (mm)]])</f>
        <v>1.0196135831381734</v>
      </c>
      <c r="N144" s="135">
        <f>Table1123457[[#This Row],[M (KN.mm)]]/(Table1123457[[#This Row],[b (mm)]]*Table1123457[[#This Row],[h (mm)]])</f>
        <v>0.92094130089899529</v>
      </c>
      <c r="O144" s="145">
        <f>Table1123457[[#This Row],[M (KN.mm)]]/(Table1123457[[#This Row],[b (mm)]]*Table1123457[[#This Row],[h (mm)]]*Table1123457[[#This Row],[L(mm)]])</f>
        <v>5.6848228450555262E-4</v>
      </c>
      <c r="P144" s="145">
        <f>Table1123457[[#This Row],[M (KN.mm)]]/(Table1123457[[#This Row],[b (mm)]]*Table1123457[[#This Row],[d (mm)]]*Table1123457[[#This Row],[L(mm)]])</f>
        <v>6.2939110070257614E-4</v>
      </c>
      <c r="Q144" s="145">
        <f>Table1123457[[#This Row],[M (KN.mm)]]/(Table1123457[[#This Row],[b (mm)]]*Table1123457[[#This Row],[h (mm)]]*Table1123457[[#This Row],[L(mm)]]*Table1123457[[#This Row],[fc (Mpa)]])</f>
        <v>1.9535473694348888E-5</v>
      </c>
      <c r="R144" s="145">
        <f>Table1123457[[#This Row],[M (KN.mm)]]/(Table1123457[[#This Row],[b (mm)]]*Table1123457[[#This Row],[h (mm)]]*Table1123457[[#This Row],[L(mm)]]/2)</f>
        <v>1.1369645690111052E-3</v>
      </c>
      <c r="S144" s="145">
        <f>Table1123457[[#This Row],[M (KN.mm)]]/(Table1123457[[#This Row],[a (mm)]]*Table1123457[[#This Row],[b (mm)]]*Table1123457[[#This Row],[h (mm)]]*Table1123457[[#This Row],[L(mm)]]/2)</f>
        <v>1.4036599617421052E-6</v>
      </c>
      <c r="T144" s="111">
        <f>G144/($AL$5*AH144*0.001*Table1123457[[#This Row],[pho (%)]])</f>
        <v>5.2607665967626965E-6</v>
      </c>
      <c r="U144" s="145">
        <f>Table1123457[[#This Row],[M (KN.mm)]]/(Table1123457[[#This Row],[b (mm)]]*Table1123457[[#This Row],[d (mm)]]*Table1123457[[#This Row],[pho (%)]])</f>
        <v>1.2284501001664738</v>
      </c>
      <c r="V144" s="145">
        <f>E144*224.8/(2*SQRT(Table1123457[[#This Row],[fc (Mpa)]]*145.037)*Table1123457[[#This Row],[b (mm)]]*Table1123457[[#This Row],[d (mm)]]*(1/25.4)^2)</f>
        <v>1.405071547629964</v>
      </c>
      <c r="W144" s="145">
        <f>Table1123457[[#This Row],[M (KN.mm)]]/$G$150</f>
        <v>0.51807228915662651</v>
      </c>
      <c r="X144" s="111">
        <f t="shared" si="23"/>
        <v>1.405071547629964</v>
      </c>
      <c r="Y144" s="111">
        <v>810</v>
      </c>
      <c r="Z144" s="111">
        <v>280</v>
      </c>
      <c r="AA144" s="111">
        <v>310</v>
      </c>
      <c r="AB144" s="111">
        <v>122</v>
      </c>
      <c r="AC144" s="7">
        <v>29.1</v>
      </c>
      <c r="AD144" s="135">
        <f>Table1123457[[#This Row],[pho (%)]]/100*Table1123457[[#This Row],[b (mm)]]*Table1123457[[#This Row],[h (mm)]]</f>
        <v>313.90600000000001</v>
      </c>
      <c r="AE144" s="135">
        <v>0.83</v>
      </c>
      <c r="AF144" s="160">
        <v>525</v>
      </c>
      <c r="AG144" s="135">
        <f>(1/3-0.21*(MIN(Table1123457[[#This Row],[b (mm)]],AA144)/MAX(Table1123457[[#This Row],[b (mm)]],AA144))*(MIN(Table1123457[[#This Row],[b (mm)]],AA144)^4/(12*MAX(Table1123457[[#This Row],[b (mm)]],AA144)^4)))*MAX(Table1123457[[#This Row],[b (mm)]],AA144)*MIN(Table1123457[[#This Row],[b (mm)]],AA144)^3</f>
        <v>187544629.45683298</v>
      </c>
      <c r="AH144" s="135">
        <f>Table1123457[[#This Row],[b (mm)]]*AA144^3/12</f>
        <v>302875166.66666669</v>
      </c>
      <c r="AI144" s="111">
        <v>1620</v>
      </c>
      <c r="AK144" s="107"/>
    </row>
    <row r="145" spans="1:37" x14ac:dyDescent="0.25">
      <c r="A145" s="257" t="s">
        <v>163</v>
      </c>
      <c r="B145" s="257">
        <v>5</v>
      </c>
      <c r="C145" s="185">
        <v>144</v>
      </c>
      <c r="D145" s="185">
        <f>Table1123457[[#This Row],[a (mm)]]/Table1123457[[#This Row],[d (mm)]]</f>
        <v>2.8928571428571428</v>
      </c>
      <c r="E145" s="258">
        <v>52.9</v>
      </c>
      <c r="F145" s="137">
        <f>Table1123457[[#This Row],[d (mm)]]</f>
        <v>280</v>
      </c>
      <c r="G145" s="135">
        <f t="shared" si="19"/>
        <v>42849</v>
      </c>
      <c r="H145" s="135">
        <f t="shared" si="20"/>
        <v>5.3717320689316215E-6</v>
      </c>
      <c r="I145" s="135">
        <f>G145/(Table1123457[[#This Row],[b (mm)]]*Z145^2)</f>
        <v>4.4798636667781871E-3</v>
      </c>
      <c r="J145" s="135">
        <f t="shared" si="21"/>
        <v>0.92858943734228505</v>
      </c>
      <c r="K145" s="135">
        <f t="shared" si="22"/>
        <v>8.9829998367612421E-6</v>
      </c>
      <c r="L145" s="135">
        <f>E145/(Table1123457[[#This Row],[b (mm)]]*Z145)</f>
        <v>1.5485948477751755E-3</v>
      </c>
      <c r="M145" s="135">
        <f>Table1123457[[#This Row],[M (KN.mm)]]/(Table1123457[[#This Row],[b (mm)]]*Table1123457[[#This Row],[d (mm)]])</f>
        <v>1.2543618266978922</v>
      </c>
      <c r="N145" s="135">
        <f>Table1123457[[#This Row],[M (KN.mm)]]/(Table1123457[[#This Row],[b (mm)]]*Table1123457[[#This Row],[h (mm)]])</f>
        <v>1.1329719725013221</v>
      </c>
      <c r="O145" s="145">
        <f>Table1123457[[#This Row],[M (KN.mm)]]/(Table1123457[[#This Row],[b (mm)]]*Table1123457[[#This Row],[h (mm)]]*Table1123457[[#This Row],[L(mm)]])</f>
        <v>6.9936541512427293E-4</v>
      </c>
      <c r="P145" s="145">
        <f>Table1123457[[#This Row],[M (KN.mm)]]/(Table1123457[[#This Row],[b (mm)]]*Table1123457[[#This Row],[d (mm)]]*Table1123457[[#This Row],[L(mm)]])</f>
        <v>7.7429742388758786E-4</v>
      </c>
      <c r="Q145" s="145">
        <f>Table1123457[[#This Row],[M (KN.mm)]]/(Table1123457[[#This Row],[b (mm)]]*Table1123457[[#This Row],[h (mm)]]*Table1123457[[#This Row],[L(mm)]]*Table1123457[[#This Row],[fc (Mpa)]])</f>
        <v>2.4033175777466423E-5</v>
      </c>
      <c r="R145" s="145">
        <f>Table1123457[[#This Row],[M (KN.mm)]]/(Table1123457[[#This Row],[b (mm)]]*Table1123457[[#This Row],[h (mm)]]*Table1123457[[#This Row],[L(mm)]]/2)</f>
        <v>1.3987308302485459E-3</v>
      </c>
      <c r="S145" s="145">
        <f>Table1123457[[#This Row],[M (KN.mm)]]/(Table1123457[[#This Row],[a (mm)]]*Table1123457[[#This Row],[b (mm)]]*Table1123457[[#This Row],[h (mm)]]*Table1123457[[#This Row],[L(mm)]]/2)</f>
        <v>1.7268281854920317E-6</v>
      </c>
      <c r="T145" s="111">
        <f>G145/($AL$5*AH145*0.001*Table1123457[[#This Row],[pho (%)]])</f>
        <v>6.4719663481103865E-6</v>
      </c>
      <c r="U145" s="145">
        <f>Table1123457[[#This Row],[M (KN.mm)]]/(Table1123457[[#This Row],[b (mm)]]*Table1123457[[#This Row],[d (mm)]]*Table1123457[[#This Row],[pho (%)]])</f>
        <v>1.5112793092745691</v>
      </c>
      <c r="V145" s="145">
        <f>E145*224.8/(2*SQRT(Table1123457[[#This Row],[fc (Mpa)]]*145.037)*Table1123457[[#This Row],[b (mm)]]*Table1123457[[#This Row],[d (mm)]]*(1/25.4)^2)</f>
        <v>1.7285647644098858</v>
      </c>
      <c r="W145" s="145">
        <f>Table1123457[[#This Row],[M (KN.mm)]]/$G$150</f>
        <v>0.63734939759036147</v>
      </c>
      <c r="X145" s="111">
        <f t="shared" si="23"/>
        <v>1.7285647644098858</v>
      </c>
      <c r="Y145" s="111">
        <v>810</v>
      </c>
      <c r="Z145" s="111">
        <v>280</v>
      </c>
      <c r="AA145" s="111">
        <v>310</v>
      </c>
      <c r="AB145" s="111">
        <v>122</v>
      </c>
      <c r="AC145" s="7">
        <v>29.1</v>
      </c>
      <c r="AD145" s="135">
        <f>Table1123457[[#This Row],[pho (%)]]/100*Table1123457[[#This Row],[b (mm)]]*Table1123457[[#This Row],[h (mm)]]</f>
        <v>313.90600000000001</v>
      </c>
      <c r="AE145" s="135">
        <v>0.83</v>
      </c>
      <c r="AF145" s="160">
        <v>525</v>
      </c>
      <c r="AG145" s="135">
        <f>(1/3-0.21*(MIN(Table1123457[[#This Row],[b (mm)]],AA145)/MAX(Table1123457[[#This Row],[b (mm)]],AA145))*(MIN(Table1123457[[#This Row],[b (mm)]],AA145)^4/(12*MAX(Table1123457[[#This Row],[b (mm)]],AA145)^4)))*MAX(Table1123457[[#This Row],[b (mm)]],AA145)*MIN(Table1123457[[#This Row],[b (mm)]],AA145)^3</f>
        <v>187544629.45683298</v>
      </c>
      <c r="AH145" s="135">
        <f>Table1123457[[#This Row],[b (mm)]]*AA145^3/12</f>
        <v>302875166.66666669</v>
      </c>
      <c r="AI145" s="111">
        <v>1620</v>
      </c>
      <c r="AK145" s="107"/>
    </row>
    <row r="146" spans="1:37" x14ac:dyDescent="0.25">
      <c r="A146" s="257" t="s">
        <v>163</v>
      </c>
      <c r="B146" s="257">
        <v>6</v>
      </c>
      <c r="C146" s="185">
        <v>145</v>
      </c>
      <c r="D146" s="185">
        <f>Table1123457[[#This Row],[a (mm)]]/Table1123457[[#This Row],[d (mm)]]</f>
        <v>2.8928571428571428</v>
      </c>
      <c r="E146" s="258">
        <v>62.8</v>
      </c>
      <c r="F146" s="137">
        <f>Table1123457[[#This Row],[d (mm)]]</f>
        <v>280</v>
      </c>
      <c r="G146" s="135">
        <f t="shared" si="19"/>
        <v>50868</v>
      </c>
      <c r="H146" s="135">
        <f t="shared" si="20"/>
        <v>6.3770278625502044E-6</v>
      </c>
      <c r="I146" s="135">
        <f>G146/(Table1123457[[#This Row],[b (mm)]]*Z146^2)</f>
        <v>5.31825025092004E-3</v>
      </c>
      <c r="J146" s="135">
        <f t="shared" si="21"/>
        <v>1.1023708254271363</v>
      </c>
      <c r="K146" s="135">
        <f t="shared" si="22"/>
        <v>1.0664128350635274E-5</v>
      </c>
      <c r="L146" s="135">
        <f>E146/(Table1123457[[#This Row],[b (mm)]]*Z146)</f>
        <v>1.838407494145199E-3</v>
      </c>
      <c r="M146" s="135">
        <f>Table1123457[[#This Row],[M (KN.mm)]]/(Table1123457[[#This Row],[b (mm)]]*Table1123457[[#This Row],[d (mm)]])</f>
        <v>1.4891100702576112</v>
      </c>
      <c r="N146" s="135">
        <f>Table1123457[[#This Row],[M (KN.mm)]]/(Table1123457[[#This Row],[b (mm)]]*Table1123457[[#This Row],[h (mm)]])</f>
        <v>1.3450026441036489</v>
      </c>
      <c r="O146" s="145">
        <f>Table1123457[[#This Row],[M (KN.mm)]]/(Table1123457[[#This Row],[b (mm)]]*Table1123457[[#This Row],[h (mm)]]*Table1123457[[#This Row],[L(mm)]])</f>
        <v>8.3024854574299312E-4</v>
      </c>
      <c r="P146" s="145">
        <f>Table1123457[[#This Row],[M (KN.mm)]]/(Table1123457[[#This Row],[b (mm)]]*Table1123457[[#This Row],[d (mm)]]*Table1123457[[#This Row],[L(mm)]])</f>
        <v>9.1920374707259959E-4</v>
      </c>
      <c r="Q146" s="145">
        <f>Table1123457[[#This Row],[M (KN.mm)]]/(Table1123457[[#This Row],[b (mm)]]*Table1123457[[#This Row],[h (mm)]]*Table1123457[[#This Row],[L(mm)]]*Table1123457[[#This Row],[fc (Mpa)]])</f>
        <v>2.8530877860583955E-5</v>
      </c>
      <c r="R146" s="145">
        <f>Table1123457[[#This Row],[M (KN.mm)]]/(Table1123457[[#This Row],[b (mm)]]*Table1123457[[#This Row],[h (mm)]]*Table1123457[[#This Row],[L(mm)]]/2)</f>
        <v>1.6604970914859862E-3</v>
      </c>
      <c r="S146" s="145">
        <f>Table1123457[[#This Row],[M (KN.mm)]]/(Table1123457[[#This Row],[a (mm)]]*Table1123457[[#This Row],[b (mm)]]*Table1123457[[#This Row],[h (mm)]]*Table1123457[[#This Row],[L(mm)]]/2)</f>
        <v>2.0499964092419582E-6</v>
      </c>
      <c r="T146" s="111">
        <f>G146/($AL$5*AH146*0.001*Table1123457[[#This Row],[pho (%)]])</f>
        <v>7.6831660994580766E-6</v>
      </c>
      <c r="U146" s="145">
        <f>Table1123457[[#This Row],[M (KN.mm)]]/(Table1123457[[#This Row],[b (mm)]]*Table1123457[[#This Row],[d (mm)]]*Table1123457[[#This Row],[pho (%)]])</f>
        <v>1.7941085183826642</v>
      </c>
      <c r="V146" s="145">
        <f>E146*224.8/(2*SQRT(Table1123457[[#This Row],[fc (Mpa)]]*145.037)*Table1123457[[#This Row],[b (mm)]]*Table1123457[[#This Row],[d (mm)]]*(1/25.4)^2)</f>
        <v>2.0520579811898081</v>
      </c>
      <c r="W146" s="145">
        <f>Table1123457[[#This Row],[M (KN.mm)]]/$G$150</f>
        <v>0.75662650602409642</v>
      </c>
      <c r="X146" s="111">
        <f t="shared" si="23"/>
        <v>2.0520579811898081</v>
      </c>
      <c r="Y146" s="111">
        <v>810</v>
      </c>
      <c r="Z146" s="111">
        <v>280</v>
      </c>
      <c r="AA146" s="111">
        <v>310</v>
      </c>
      <c r="AB146" s="111">
        <v>122</v>
      </c>
      <c r="AC146" s="7">
        <v>29.1</v>
      </c>
      <c r="AD146" s="135">
        <f>Table1123457[[#This Row],[pho (%)]]/100*Table1123457[[#This Row],[b (mm)]]*Table1123457[[#This Row],[h (mm)]]</f>
        <v>313.90600000000001</v>
      </c>
      <c r="AE146" s="135">
        <v>0.83</v>
      </c>
      <c r="AF146" s="160">
        <v>525</v>
      </c>
      <c r="AG146" s="135">
        <f>(1/3-0.21*(MIN(Table1123457[[#This Row],[b (mm)]],AA146)/MAX(Table1123457[[#This Row],[b (mm)]],AA146))*(MIN(Table1123457[[#This Row],[b (mm)]],AA146)^4/(12*MAX(Table1123457[[#This Row],[b (mm)]],AA146)^4)))*MAX(Table1123457[[#This Row],[b (mm)]],AA146)*MIN(Table1123457[[#This Row],[b (mm)]],AA146)^3</f>
        <v>187544629.45683298</v>
      </c>
      <c r="AH146" s="135">
        <f>Table1123457[[#This Row],[b (mm)]]*AA146^3/12</f>
        <v>302875166.66666669</v>
      </c>
      <c r="AI146" s="111">
        <v>1620</v>
      </c>
      <c r="AK146" s="107"/>
    </row>
    <row r="147" spans="1:37" x14ac:dyDescent="0.25">
      <c r="A147" s="257" t="s">
        <v>163</v>
      </c>
      <c r="B147" s="257">
        <v>7</v>
      </c>
      <c r="C147" s="185">
        <v>146</v>
      </c>
      <c r="D147" s="185">
        <f>Table1123457[[#This Row],[a (mm)]]/Table1123457[[#This Row],[d (mm)]]</f>
        <v>2.8928571428571428</v>
      </c>
      <c r="E147" s="258">
        <v>71.099999999999994</v>
      </c>
      <c r="F147" s="137">
        <f>Table1123457[[#This Row],[d (mm)]]</f>
        <v>280</v>
      </c>
      <c r="G147" s="135">
        <f t="shared" si="19"/>
        <v>57590.999999999993</v>
      </c>
      <c r="H147" s="135">
        <f t="shared" si="20"/>
        <v>7.2198516087152786E-6</v>
      </c>
      <c r="I147" s="135">
        <f>G147/(Table1123457[[#This Row],[b (mm)]]*Z147^2)</f>
        <v>6.0211400133824014E-3</v>
      </c>
      <c r="J147" s="135">
        <f t="shared" si="21"/>
        <v>1.2480663326093848</v>
      </c>
      <c r="K147" s="135">
        <f t="shared" si="22"/>
        <v>1.2073559326913501E-5</v>
      </c>
      <c r="L147" s="135">
        <f>E147/(Table1123457[[#This Row],[b (mm)]]*Z147)</f>
        <v>2.0813817330210772E-3</v>
      </c>
      <c r="M147" s="135">
        <f>Table1123457[[#This Row],[M (KN.mm)]]/(Table1123457[[#This Row],[b (mm)]]*Table1123457[[#This Row],[d (mm)]])</f>
        <v>1.6859192037470725</v>
      </c>
      <c r="N147" s="135">
        <f>Table1123457[[#This Row],[M (KN.mm)]]/(Table1123457[[#This Row],[b (mm)]]*Table1123457[[#This Row],[h (mm)]])</f>
        <v>1.5227657324167105</v>
      </c>
      <c r="O147" s="145">
        <f>Table1123457[[#This Row],[M (KN.mm)]]/(Table1123457[[#This Row],[b (mm)]]*Table1123457[[#This Row],[h (mm)]]*Table1123457[[#This Row],[L(mm)]])</f>
        <v>9.3997884717080893E-4</v>
      </c>
      <c r="P147" s="145">
        <f>Table1123457[[#This Row],[M (KN.mm)]]/(Table1123457[[#This Row],[b (mm)]]*Table1123457[[#This Row],[d (mm)]]*Table1123457[[#This Row],[L(mm)]])</f>
        <v>1.0406908665105386E-3</v>
      </c>
      <c r="Q147" s="145">
        <f>Table1123457[[#This Row],[M (KN.mm)]]/(Table1123457[[#This Row],[b (mm)]]*Table1123457[[#This Row],[h (mm)]]*Table1123457[[#This Row],[L(mm)]]*Table1123457[[#This Row],[fc (Mpa)]])</f>
        <v>3.2301678596935014E-5</v>
      </c>
      <c r="R147" s="145">
        <f>Table1123457[[#This Row],[M (KN.mm)]]/(Table1123457[[#This Row],[b (mm)]]*Table1123457[[#This Row],[h (mm)]]*Table1123457[[#This Row],[L(mm)]]/2)</f>
        <v>1.8799576943416179E-3</v>
      </c>
      <c r="S147" s="145">
        <f>Table1123457[[#This Row],[M (KN.mm)]]/(Table1123457[[#This Row],[a (mm)]]*Table1123457[[#This Row],[b (mm)]]*Table1123457[[#This Row],[h (mm)]]*Table1123457[[#This Row],[L(mm)]]/2)</f>
        <v>2.3209354251131087E-6</v>
      </c>
      <c r="T147" s="111">
        <f>G147/($AL$5*AH147*0.001*Table1123457[[#This Row],[pho (%)]])</f>
        <v>8.6986163960425031E-6</v>
      </c>
      <c r="U147" s="145">
        <f>Table1123457[[#This Row],[M (KN.mm)]]/(Table1123457[[#This Row],[b (mm)]]*Table1123457[[#This Row],[d (mm)]]*Table1123457[[#This Row],[pho (%)]])</f>
        <v>2.0312279563217741</v>
      </c>
      <c r="V147" s="145">
        <f>E147*224.8/(2*SQRT(Table1123457[[#This Row],[fc (Mpa)]]*145.037)*Table1123457[[#This Row],[b (mm)]]*Table1123457[[#This Row],[d (mm)]]*(1/25.4)^2)</f>
        <v>2.3232694659648936</v>
      </c>
      <c r="W147" s="145">
        <f>Table1123457[[#This Row],[M (KN.mm)]]/$G$150</f>
        <v>0.85662650602409629</v>
      </c>
      <c r="X147" s="111">
        <f t="shared" si="23"/>
        <v>2.3232694659648936</v>
      </c>
      <c r="Y147" s="111">
        <v>810</v>
      </c>
      <c r="Z147" s="111">
        <v>280</v>
      </c>
      <c r="AA147" s="111">
        <v>310</v>
      </c>
      <c r="AB147" s="111">
        <v>122</v>
      </c>
      <c r="AC147" s="7">
        <v>29.1</v>
      </c>
      <c r="AD147" s="135">
        <f>Table1123457[[#This Row],[pho (%)]]/100*Table1123457[[#This Row],[b (mm)]]*Table1123457[[#This Row],[h (mm)]]</f>
        <v>313.90600000000001</v>
      </c>
      <c r="AE147" s="135">
        <v>0.83</v>
      </c>
      <c r="AF147" s="160">
        <v>525</v>
      </c>
      <c r="AG147" s="135">
        <f>(1/3-0.21*(MIN(Table1123457[[#This Row],[b (mm)]],AA147)/MAX(Table1123457[[#This Row],[b (mm)]],AA147))*(MIN(Table1123457[[#This Row],[b (mm)]],AA147)^4/(12*MAX(Table1123457[[#This Row],[b (mm)]],AA147)^4)))*MAX(Table1123457[[#This Row],[b (mm)]],AA147)*MIN(Table1123457[[#This Row],[b (mm)]],AA147)^3</f>
        <v>187544629.45683298</v>
      </c>
      <c r="AH147" s="135">
        <f>Table1123457[[#This Row],[b (mm)]]*AA147^3/12</f>
        <v>302875166.66666669</v>
      </c>
      <c r="AI147" s="111">
        <v>1620</v>
      </c>
      <c r="AK147" s="107"/>
    </row>
    <row r="148" spans="1:37" x14ac:dyDescent="0.25">
      <c r="A148" s="257" t="s">
        <v>163</v>
      </c>
      <c r="B148" s="257">
        <v>8</v>
      </c>
      <c r="C148" s="185">
        <v>147</v>
      </c>
      <c r="D148" s="185">
        <f>Table1123457[[#This Row],[a (mm)]]/Table1123457[[#This Row],[d (mm)]]</f>
        <v>2.8928571428571428</v>
      </c>
      <c r="E148" s="258">
        <v>73.099999999999994</v>
      </c>
      <c r="F148" s="137">
        <f>Table1123457[[#This Row],[d (mm)]]</f>
        <v>280</v>
      </c>
      <c r="G148" s="135">
        <f t="shared" si="19"/>
        <v>59210.999999999993</v>
      </c>
      <c r="H148" s="135">
        <f t="shared" si="20"/>
        <v>7.422941668032164E-6</v>
      </c>
      <c r="I148" s="135">
        <f>G148/(Table1123457[[#This Row],[b (mm)]]*Z148^2)</f>
        <v>6.1905110404817656E-3</v>
      </c>
      <c r="J148" s="135">
        <f t="shared" si="21"/>
        <v>1.2831736837376377</v>
      </c>
      <c r="K148" s="135">
        <f t="shared" si="22"/>
        <v>1.2413181248908256E-5</v>
      </c>
      <c r="L148" s="135">
        <f>E148/(Table1123457[[#This Row],[b (mm)]]*Z148)</f>
        <v>2.1399297423887586E-3</v>
      </c>
      <c r="M148" s="135">
        <f>Table1123457[[#This Row],[M (KN.mm)]]/(Table1123457[[#This Row],[b (mm)]]*Table1123457[[#This Row],[d (mm)]])</f>
        <v>1.7333430913348944</v>
      </c>
      <c r="N148" s="135">
        <f>Table1123457[[#This Row],[M (KN.mm)]]/(Table1123457[[#This Row],[b (mm)]]*Table1123457[[#This Row],[h (mm)]])</f>
        <v>1.5656002115282917</v>
      </c>
      <c r="O148" s="145">
        <f>Table1123457[[#This Row],[M (KN.mm)]]/(Table1123457[[#This Row],[b (mm)]]*Table1123457[[#This Row],[h (mm)]]*Table1123457[[#This Row],[L(mm)]])</f>
        <v>9.6641988365943929E-4</v>
      </c>
      <c r="P148" s="145">
        <f>Table1123457[[#This Row],[M (KN.mm)]]/(Table1123457[[#This Row],[b (mm)]]*Table1123457[[#This Row],[d (mm)]]*Table1123457[[#This Row],[L(mm)]])</f>
        <v>1.0699648711943793E-3</v>
      </c>
      <c r="Q148" s="145">
        <f>Table1123457[[#This Row],[M (KN.mm)]]/(Table1123457[[#This Row],[b (mm)]]*Table1123457[[#This Row],[h (mm)]]*Table1123457[[#This Row],[L(mm)]]*Table1123457[[#This Row],[fc (Mpa)]])</f>
        <v>3.3210305280393103E-5</v>
      </c>
      <c r="R148" s="145">
        <f>Table1123457[[#This Row],[M (KN.mm)]]/(Table1123457[[#This Row],[b (mm)]]*Table1123457[[#This Row],[h (mm)]]*Table1123457[[#This Row],[L(mm)]]/2)</f>
        <v>1.9328397673188786E-3</v>
      </c>
      <c r="S148" s="145">
        <f>Table1123457[[#This Row],[M (KN.mm)]]/(Table1123457[[#This Row],[a (mm)]]*Table1123457[[#This Row],[b (mm)]]*Table1123457[[#This Row],[h (mm)]]*Table1123457[[#This Row],[L(mm)]]/2)</f>
        <v>2.3862219349615788E-6</v>
      </c>
      <c r="T148" s="111">
        <f>G148/($AL$5*AH148*0.001*Table1123457[[#This Row],[pho (%)]])</f>
        <v>8.943303214496582E-6</v>
      </c>
      <c r="U148" s="145">
        <f>Table1123457[[#This Row],[M (KN.mm)]]/(Table1123457[[#This Row],[b (mm)]]*Table1123457[[#This Row],[d (mm)]]*Table1123457[[#This Row],[pho (%)]])</f>
        <v>2.0883651702830055</v>
      </c>
      <c r="V148" s="145">
        <f>E148*224.8/(2*SQRT(Table1123457[[#This Row],[fc (Mpa)]]*145.037)*Table1123457[[#This Row],[b (mm)]]*Table1123457[[#This Row],[d (mm)]]*(1/25.4)^2)</f>
        <v>2.3886216309709387</v>
      </c>
      <c r="W148" s="145">
        <f>Table1123457[[#This Row],[M (KN.mm)]]/$G$150</f>
        <v>0.88072289156626493</v>
      </c>
      <c r="X148" s="111">
        <f t="shared" si="23"/>
        <v>2.3886216309709387</v>
      </c>
      <c r="Y148" s="111">
        <v>810</v>
      </c>
      <c r="Z148" s="111">
        <v>280</v>
      </c>
      <c r="AA148" s="111">
        <v>310</v>
      </c>
      <c r="AB148" s="111">
        <v>122</v>
      </c>
      <c r="AC148" s="7">
        <v>29.1</v>
      </c>
      <c r="AD148" s="135">
        <f>Table1123457[[#This Row],[pho (%)]]/100*Table1123457[[#This Row],[b (mm)]]*Table1123457[[#This Row],[h (mm)]]</f>
        <v>313.90600000000001</v>
      </c>
      <c r="AE148" s="135">
        <v>0.83</v>
      </c>
      <c r="AF148" s="160">
        <v>525</v>
      </c>
      <c r="AG148" s="135">
        <f>(1/3-0.21*(MIN(Table1123457[[#This Row],[b (mm)]],AA148)/MAX(Table1123457[[#This Row],[b (mm)]],AA148))*(MIN(Table1123457[[#This Row],[b (mm)]],AA148)^4/(12*MAX(Table1123457[[#This Row],[b (mm)]],AA148)^4)))*MAX(Table1123457[[#This Row],[b (mm)]],AA148)*MIN(Table1123457[[#This Row],[b (mm)]],AA148)^3</f>
        <v>187544629.45683298</v>
      </c>
      <c r="AH148" s="135">
        <f>Table1123457[[#This Row],[b (mm)]]*AA148^3/12</f>
        <v>302875166.66666669</v>
      </c>
      <c r="AI148" s="111">
        <v>1620</v>
      </c>
      <c r="AK148" s="107"/>
    </row>
    <row r="149" spans="1:37" x14ac:dyDescent="0.25">
      <c r="A149" s="257" t="s">
        <v>163</v>
      </c>
      <c r="B149" s="257">
        <v>9</v>
      </c>
      <c r="C149" s="185">
        <v>148</v>
      </c>
      <c r="D149" s="185">
        <f>Table1123457[[#This Row],[a (mm)]]/Table1123457[[#This Row],[d (mm)]]</f>
        <v>2.8928571428571428</v>
      </c>
      <c r="E149" s="258">
        <v>76.5</v>
      </c>
      <c r="F149" s="137">
        <f>Table1123457[[#This Row],[d (mm)]]</f>
        <v>280</v>
      </c>
      <c r="G149" s="135">
        <f t="shared" si="19"/>
        <v>61965</v>
      </c>
      <c r="H149" s="135">
        <f t="shared" si="20"/>
        <v>7.7681947688708694E-6</v>
      </c>
      <c r="I149" s="135">
        <f>G149/(Table1123457[[#This Row],[b (mm)]]*Z149^2)</f>
        <v>6.4784417865506863E-3</v>
      </c>
      <c r="J149" s="135">
        <f t="shared" si="21"/>
        <v>1.3428561806556674</v>
      </c>
      <c r="K149" s="135">
        <f t="shared" si="22"/>
        <v>1.2990538516299339E-5</v>
      </c>
      <c r="L149" s="135">
        <f>E149/(Table1123457[[#This Row],[b (mm)]]*Z149)</f>
        <v>2.2394613583138173E-3</v>
      </c>
      <c r="M149" s="135">
        <f>Table1123457[[#This Row],[M (KN.mm)]]/(Table1123457[[#This Row],[b (mm)]]*Table1123457[[#This Row],[d (mm)]])</f>
        <v>1.813963700234192</v>
      </c>
      <c r="N149" s="135">
        <f>Table1123457[[#This Row],[M (KN.mm)]]/(Table1123457[[#This Row],[b (mm)]]*Table1123457[[#This Row],[h (mm)]])</f>
        <v>1.6384188260179799</v>
      </c>
      <c r="O149" s="145">
        <f>Table1123457[[#This Row],[M (KN.mm)]]/(Table1123457[[#This Row],[b (mm)]]*Table1123457[[#This Row],[h (mm)]]*Table1123457[[#This Row],[L(mm)]])</f>
        <v>1.011369645690111E-3</v>
      </c>
      <c r="P149" s="145">
        <f>Table1123457[[#This Row],[M (KN.mm)]]/(Table1123457[[#This Row],[b (mm)]]*Table1123457[[#This Row],[d (mm)]]*Table1123457[[#This Row],[L(mm)]])</f>
        <v>1.1197306791569087E-3</v>
      </c>
      <c r="Q149" s="145">
        <f>Table1123457[[#This Row],[M (KN.mm)]]/(Table1123457[[#This Row],[b (mm)]]*Table1123457[[#This Row],[h (mm)]]*Table1123457[[#This Row],[L(mm)]]*Table1123457[[#This Row],[fc (Mpa)]])</f>
        <v>3.475497064227186E-5</v>
      </c>
      <c r="R149" s="145">
        <f>Table1123457[[#This Row],[M (KN.mm)]]/(Table1123457[[#This Row],[b (mm)]]*Table1123457[[#This Row],[h (mm)]]*Table1123457[[#This Row],[L(mm)]]/2)</f>
        <v>2.022739291380222E-3</v>
      </c>
      <c r="S149" s="145">
        <f>Table1123457[[#This Row],[M (KN.mm)]]/(Table1123457[[#This Row],[a (mm)]]*Table1123457[[#This Row],[b (mm)]]*Table1123457[[#This Row],[h (mm)]]*Table1123457[[#This Row],[L(mm)]]/2)</f>
        <v>2.4972090017039779E-6</v>
      </c>
      <c r="T149" s="111">
        <f>G149/($AL$5*AH149*0.001*Table1123457[[#This Row],[pho (%)]])</f>
        <v>9.3592708058685181E-6</v>
      </c>
      <c r="U149" s="145">
        <f>Table1123457[[#This Row],[M (KN.mm)]]/(Table1123457[[#This Row],[b (mm)]]*Table1123457[[#This Row],[d (mm)]]*Table1123457[[#This Row],[pho (%)]])</f>
        <v>2.1854984340170991</v>
      </c>
      <c r="V149" s="145">
        <f>E149*224.8/(2*SQRT(Table1123457[[#This Row],[fc (Mpa)]]*145.037)*Table1123457[[#This Row],[b (mm)]]*Table1123457[[#This Row],[d (mm)]]*(1/25.4)^2)</f>
        <v>2.499720311481215</v>
      </c>
      <c r="W149" s="145">
        <f>Table1123457[[#This Row],[M (KN.mm)]]/$G$150</f>
        <v>0.92168674698795183</v>
      </c>
      <c r="X149" s="111">
        <f t="shared" si="23"/>
        <v>2.499720311481215</v>
      </c>
      <c r="Y149" s="111">
        <v>810</v>
      </c>
      <c r="Z149" s="111">
        <v>280</v>
      </c>
      <c r="AA149" s="111">
        <v>310</v>
      </c>
      <c r="AB149" s="111">
        <v>122</v>
      </c>
      <c r="AC149" s="7">
        <v>29.1</v>
      </c>
      <c r="AD149" s="135">
        <f>Table1123457[[#This Row],[pho (%)]]/100*Table1123457[[#This Row],[b (mm)]]*Table1123457[[#This Row],[h (mm)]]</f>
        <v>313.90600000000001</v>
      </c>
      <c r="AE149" s="135">
        <v>0.83</v>
      </c>
      <c r="AF149" s="160">
        <v>525</v>
      </c>
      <c r="AG149" s="135">
        <f>(1/3-0.21*(MIN(Table1123457[[#This Row],[b (mm)]],AA149)/MAX(Table1123457[[#This Row],[b (mm)]],AA149))*(MIN(Table1123457[[#This Row],[b (mm)]],AA149)^4/(12*MAX(Table1123457[[#This Row],[b (mm)]],AA149)^4)))*MAX(Table1123457[[#This Row],[b (mm)]],AA149)*MIN(Table1123457[[#This Row],[b (mm)]],AA149)^3</f>
        <v>187544629.45683298</v>
      </c>
      <c r="AH149" s="135">
        <f>Table1123457[[#This Row],[b (mm)]]*AA149^3/12</f>
        <v>302875166.66666669</v>
      </c>
      <c r="AI149" s="111">
        <v>1620</v>
      </c>
      <c r="AK149" s="107"/>
    </row>
    <row r="150" spans="1:37" x14ac:dyDescent="0.25">
      <c r="A150" s="257" t="s">
        <v>163</v>
      </c>
      <c r="B150" s="257" t="s">
        <v>141</v>
      </c>
      <c r="C150" s="185">
        <v>149</v>
      </c>
      <c r="D150" s="185">
        <f>Table1123457[[#This Row],[a (mm)]]/Table1123457[[#This Row],[d (mm)]]</f>
        <v>2.8928571428571428</v>
      </c>
      <c r="E150" s="258">
        <v>83</v>
      </c>
      <c r="F150" s="137">
        <f>Table1123457[[#This Row],[d (mm)]]</f>
        <v>280</v>
      </c>
      <c r="G150" s="135">
        <f t="shared" si="19"/>
        <v>67230</v>
      </c>
      <c r="H150" s="135">
        <f t="shared" si="20"/>
        <v>8.4282374616507486E-6</v>
      </c>
      <c r="I150" s="135">
        <f>G150/(Table1123457[[#This Row],[b (mm)]]*Z150^2)</f>
        <v>7.0288976246236203E-3</v>
      </c>
      <c r="J150" s="135">
        <f t="shared" si="21"/>
        <v>1.4569550718224888</v>
      </c>
      <c r="K150" s="135">
        <f t="shared" si="22"/>
        <v>1.4094309762782289E-5</v>
      </c>
      <c r="L150" s="135">
        <f>E150/(Table1123457[[#This Row],[b (mm)]]*Z150)</f>
        <v>2.429742388758782E-3</v>
      </c>
      <c r="M150" s="135">
        <f>Table1123457[[#This Row],[M (KN.mm)]]/(Table1123457[[#This Row],[b (mm)]]*Table1123457[[#This Row],[d (mm)]])</f>
        <v>1.9680913348946136</v>
      </c>
      <c r="N150" s="135">
        <f>Table1123457[[#This Row],[M (KN.mm)]]/(Table1123457[[#This Row],[b (mm)]]*Table1123457[[#This Row],[h (mm)]])</f>
        <v>1.7776308831306187</v>
      </c>
      <c r="O150" s="145">
        <f>Table1123457[[#This Row],[M (KN.mm)]]/(Table1123457[[#This Row],[b (mm)]]*Table1123457[[#This Row],[h (mm)]]*Table1123457[[#This Row],[L(mm)]])</f>
        <v>1.0973030142781598E-3</v>
      </c>
      <c r="P150" s="145">
        <f>Table1123457[[#This Row],[M (KN.mm)]]/(Table1123457[[#This Row],[b (mm)]]*Table1123457[[#This Row],[d (mm)]]*Table1123457[[#This Row],[L(mm)]])</f>
        <v>1.214871194379391E-3</v>
      </c>
      <c r="Q150" s="145">
        <f>Table1123457[[#This Row],[M (KN.mm)]]/(Table1123457[[#This Row],[b (mm)]]*Table1123457[[#This Row],[h (mm)]]*Table1123457[[#This Row],[L(mm)]]*Table1123457[[#This Row],[fc (Mpa)]])</f>
        <v>3.7708007363510645E-5</v>
      </c>
      <c r="R150" s="145">
        <f>Table1123457[[#This Row],[M (KN.mm)]]/(Table1123457[[#This Row],[b (mm)]]*Table1123457[[#This Row],[h (mm)]]*Table1123457[[#This Row],[L(mm)]]/2)</f>
        <v>2.1946060285563196E-3</v>
      </c>
      <c r="S150" s="145">
        <f>Table1123457[[#This Row],[M (KN.mm)]]/(Table1123457[[#This Row],[a (mm)]]*Table1123457[[#This Row],[b (mm)]]*Table1123457[[#This Row],[h (mm)]]*Table1123457[[#This Row],[L(mm)]]/2)</f>
        <v>2.7093901587115055E-6</v>
      </c>
      <c r="T150" s="111">
        <f>G150/($AL$5*AH150*0.001*Table1123457[[#This Row],[pho (%)]])</f>
        <v>1.0154502965844275E-5</v>
      </c>
      <c r="U150" s="145">
        <f>Table1123457[[#This Row],[M (KN.mm)]]/(Table1123457[[#This Row],[b (mm)]]*Table1123457[[#This Row],[d (mm)]]*Table1123457[[#This Row],[pho (%)]])</f>
        <v>2.3711943793911008</v>
      </c>
      <c r="V150" s="145">
        <f>E150*224.8/(2*SQRT(Table1123457[[#This Row],[fc (Mpa)]]*145.037)*Table1123457[[#This Row],[b (mm)]]*Table1123457[[#This Row],[d (mm)]]*(1/25.4)^2)</f>
        <v>2.7121148477508608</v>
      </c>
      <c r="W150" s="145">
        <f>Table1123457[[#This Row],[M (KN.mm)]]/$G$150</f>
        <v>1</v>
      </c>
      <c r="X150" s="111">
        <f t="shared" si="23"/>
        <v>2.7121148477508608</v>
      </c>
      <c r="Y150" s="111">
        <v>810</v>
      </c>
      <c r="Z150" s="111">
        <v>280</v>
      </c>
      <c r="AA150" s="111">
        <v>310</v>
      </c>
      <c r="AB150" s="111">
        <v>122</v>
      </c>
      <c r="AC150" s="7">
        <v>29.1</v>
      </c>
      <c r="AD150" s="135">
        <f>Table1123457[[#This Row],[pho (%)]]/100*Table1123457[[#This Row],[b (mm)]]*Table1123457[[#This Row],[h (mm)]]</f>
        <v>313.90600000000001</v>
      </c>
      <c r="AE150" s="135">
        <v>0.83</v>
      </c>
      <c r="AF150" s="160">
        <v>525</v>
      </c>
      <c r="AG150" s="135">
        <f>(1/3-0.21*(MIN(Table1123457[[#This Row],[b (mm)]],AA150)/MAX(Table1123457[[#This Row],[b (mm)]],AA150))*(MIN(Table1123457[[#This Row],[b (mm)]],AA150)^4/(12*MAX(Table1123457[[#This Row],[b (mm)]],AA150)^4)))*MAX(Table1123457[[#This Row],[b (mm)]],AA150)*MIN(Table1123457[[#This Row],[b (mm)]],AA150)^3</f>
        <v>187544629.45683298</v>
      </c>
      <c r="AH150" s="135">
        <f>Table1123457[[#This Row],[b (mm)]]*AA150^3/12</f>
        <v>302875166.66666669</v>
      </c>
      <c r="AI150" s="111">
        <v>1620</v>
      </c>
      <c r="AK150" s="107"/>
    </row>
    <row r="151" spans="1:37" x14ac:dyDescent="0.25">
      <c r="A151" s="265" t="s">
        <v>164</v>
      </c>
      <c r="B151" s="265">
        <v>1</v>
      </c>
      <c r="C151" s="185">
        <v>150</v>
      </c>
      <c r="D151" s="185">
        <f>Table1123457[[#This Row],[a (mm)]]/Table1123457[[#This Row],[d (mm)]]</f>
        <v>2.8928571428571428</v>
      </c>
      <c r="E151" s="266">
        <v>20</v>
      </c>
      <c r="F151" s="137">
        <f>Table1123457[[#This Row],[d (mm)]]</f>
        <v>280</v>
      </c>
      <c r="G151" s="135">
        <f t="shared" si="19"/>
        <v>16200</v>
      </c>
      <c r="H151" s="135">
        <f t="shared" si="20"/>
        <v>2.030900593168855E-6</v>
      </c>
      <c r="I151" s="135">
        <f>G151/(Table1123457[[#This Row],[b (mm)]]*Z151^2)</f>
        <v>1.6937102709936433E-3</v>
      </c>
      <c r="J151" s="135">
        <f t="shared" si="21"/>
        <v>0.35107351128252745</v>
      </c>
      <c r="K151" s="135">
        <f t="shared" si="22"/>
        <v>3.3962192199475395E-6</v>
      </c>
      <c r="L151" s="135">
        <f>E151/(Table1123457[[#This Row],[b (mm)]]*Z151)</f>
        <v>5.8548009367681499E-4</v>
      </c>
      <c r="M151" s="135">
        <f>Table1123457[[#This Row],[M (KN.mm)]]/(Table1123457[[#This Row],[b (mm)]]*Table1123457[[#This Row],[d (mm)]])</f>
        <v>0.47423887587822017</v>
      </c>
      <c r="N151" s="135">
        <f>Table1123457[[#This Row],[M (KN.mm)]]/(Table1123457[[#This Row],[b (mm)]]*Table1123457[[#This Row],[h (mm)]])</f>
        <v>0.42834479111581175</v>
      </c>
      <c r="O151" s="145">
        <f>Table1123457[[#This Row],[M (KN.mm)]]/(Table1123457[[#This Row],[b (mm)]]*Table1123457[[#This Row],[h (mm)]]*Table1123457[[#This Row],[L(mm)]])</f>
        <v>2.6441036488630354E-4</v>
      </c>
      <c r="P151" s="145">
        <f>Table1123457[[#This Row],[M (KN.mm)]]/(Table1123457[[#This Row],[b (mm)]]*Table1123457[[#This Row],[d (mm)]]*Table1123457[[#This Row],[L(mm)]])</f>
        <v>2.9274004683840749E-4</v>
      </c>
      <c r="Q151" s="145">
        <f>Table1123457[[#This Row],[M (KN.mm)]]/(Table1123457[[#This Row],[b (mm)]]*Table1123457[[#This Row],[h (mm)]]*Table1123457[[#This Row],[L(mm)]]*Table1123457[[#This Row],[fc (Mpa)]])</f>
        <v>9.0862668345808786E-6</v>
      </c>
      <c r="R151" s="145">
        <f>Table1123457[[#This Row],[M (KN.mm)]]/(Table1123457[[#This Row],[b (mm)]]*Table1123457[[#This Row],[h (mm)]]*Table1123457[[#This Row],[L(mm)]]/2)</f>
        <v>5.2882072977260709E-4</v>
      </c>
      <c r="S151" s="145">
        <f>Table1123457[[#This Row],[M (KN.mm)]]/(Table1123457[[#This Row],[a (mm)]]*Table1123457[[#This Row],[b (mm)]]*Table1123457[[#This Row],[h (mm)]]*Table1123457[[#This Row],[L(mm)]]/2)</f>
        <v>6.5286509848470015E-7</v>
      </c>
      <c r="T151" s="111">
        <f>G151/($AL$5*AH151*0.001*Table1123457[[#This Row],[pho (%)]])</f>
        <v>2.4468681845407891E-6</v>
      </c>
      <c r="U151" s="145">
        <f>Table1123457[[#This Row],[M (KN.mm)]]/(Table1123457[[#This Row],[b (mm)]]*Table1123457[[#This Row],[d (mm)]]*Table1123457[[#This Row],[pho (%)]])</f>
        <v>0.57137213961231348</v>
      </c>
      <c r="V151" s="145">
        <f>E151*224.8/(2*SQRT(Table1123457[[#This Row],[fc (Mpa)]]*145.037)*Table1123457[[#This Row],[b (mm)]]*Table1123457[[#This Row],[d (mm)]]*(1/25.4)^2)</f>
        <v>0.65352165006044838</v>
      </c>
      <c r="W151" s="145">
        <f>Table1123457[[#This Row],[M (KN.mm)]]/$G$157</f>
        <v>0.28985507246376813</v>
      </c>
      <c r="X151" s="111">
        <f t="shared" si="23"/>
        <v>0.65352165006044838</v>
      </c>
      <c r="Y151" s="111">
        <v>810</v>
      </c>
      <c r="Z151" s="111">
        <v>280</v>
      </c>
      <c r="AA151" s="111">
        <v>310</v>
      </c>
      <c r="AB151" s="111">
        <v>122</v>
      </c>
      <c r="AC151" s="7">
        <v>29.1</v>
      </c>
      <c r="AD151" s="135">
        <f>Table1123457[[#This Row],[pho (%)]]/100*Table1123457[[#This Row],[b (mm)]]*Table1123457[[#This Row],[h (mm)]]</f>
        <v>313.90600000000001</v>
      </c>
      <c r="AE151" s="135">
        <v>0.83</v>
      </c>
      <c r="AF151" s="160">
        <v>525</v>
      </c>
      <c r="AG151" s="135">
        <f>(1/3-0.21*(MIN(Table1123457[[#This Row],[b (mm)]],AA151)/MAX(Table1123457[[#This Row],[b (mm)]],AA151))*(MIN(Table1123457[[#This Row],[b (mm)]],AA151)^4/(12*MAX(Table1123457[[#This Row],[b (mm)]],AA151)^4)))*MAX(Table1123457[[#This Row],[b (mm)]],AA151)*MIN(Table1123457[[#This Row],[b (mm)]],AA151)^3</f>
        <v>187544629.45683298</v>
      </c>
      <c r="AH151" s="135">
        <f>Table1123457[[#This Row],[b (mm)]]*AA151^3/12</f>
        <v>302875166.66666669</v>
      </c>
      <c r="AI151" s="111">
        <v>1620</v>
      </c>
      <c r="AK151" s="107"/>
    </row>
    <row r="152" spans="1:37" x14ac:dyDescent="0.25">
      <c r="A152" s="265" t="s">
        <v>164</v>
      </c>
      <c r="B152" s="265">
        <v>2</v>
      </c>
      <c r="C152" s="185">
        <v>151</v>
      </c>
      <c r="D152" s="185">
        <f>Table1123457[[#This Row],[a (mm)]]/Table1123457[[#This Row],[d (mm)]]</f>
        <v>2.8928571428571428</v>
      </c>
      <c r="E152" s="266">
        <v>30</v>
      </c>
      <c r="F152" s="137">
        <f>Table1123457[[#This Row],[d (mm)]]</f>
        <v>280</v>
      </c>
      <c r="G152" s="135">
        <f t="shared" si="19"/>
        <v>24300</v>
      </c>
      <c r="H152" s="135">
        <f t="shared" si="20"/>
        <v>3.0463508897532823E-6</v>
      </c>
      <c r="I152" s="135">
        <f>G152/(Table1123457[[#This Row],[b (mm)]]*Z152^2)</f>
        <v>2.5405654064904648E-3</v>
      </c>
      <c r="J152" s="135">
        <f t="shared" si="21"/>
        <v>0.5266102669237912</v>
      </c>
      <c r="K152" s="135">
        <f t="shared" si="22"/>
        <v>5.0943288299213092E-6</v>
      </c>
      <c r="L152" s="135">
        <f>E152/(Table1123457[[#This Row],[b (mm)]]*Z152)</f>
        <v>8.7822014051522248E-4</v>
      </c>
      <c r="M152" s="135">
        <f>Table1123457[[#This Row],[M (KN.mm)]]/(Table1123457[[#This Row],[b (mm)]]*Table1123457[[#This Row],[d (mm)]])</f>
        <v>0.71135831381733017</v>
      </c>
      <c r="N152" s="135">
        <f>Table1123457[[#This Row],[M (KN.mm)]]/(Table1123457[[#This Row],[b (mm)]]*Table1123457[[#This Row],[h (mm)]])</f>
        <v>0.6425171866737176</v>
      </c>
      <c r="O152" s="145">
        <f>Table1123457[[#This Row],[M (KN.mm)]]/(Table1123457[[#This Row],[b (mm)]]*Table1123457[[#This Row],[h (mm)]]*Table1123457[[#This Row],[L(mm)]])</f>
        <v>3.9661554732945531E-4</v>
      </c>
      <c r="P152" s="145">
        <f>Table1123457[[#This Row],[M (KN.mm)]]/(Table1123457[[#This Row],[b (mm)]]*Table1123457[[#This Row],[d (mm)]]*Table1123457[[#This Row],[L(mm)]])</f>
        <v>4.3911007025761124E-4</v>
      </c>
      <c r="Q152" s="145">
        <f>Table1123457[[#This Row],[M (KN.mm)]]/(Table1123457[[#This Row],[b (mm)]]*Table1123457[[#This Row],[h (mm)]]*Table1123457[[#This Row],[L(mm)]]*Table1123457[[#This Row],[fc (Mpa)]])</f>
        <v>1.3629400251871317E-5</v>
      </c>
      <c r="R152" s="145">
        <f>Table1123457[[#This Row],[M (KN.mm)]]/(Table1123457[[#This Row],[b (mm)]]*Table1123457[[#This Row],[h (mm)]]*Table1123457[[#This Row],[L(mm)]]/2)</f>
        <v>7.9323109465891063E-4</v>
      </c>
      <c r="S152" s="145">
        <f>Table1123457[[#This Row],[M (KN.mm)]]/(Table1123457[[#This Row],[a (mm)]]*Table1123457[[#This Row],[b (mm)]]*Table1123457[[#This Row],[h (mm)]]*Table1123457[[#This Row],[L(mm)]]/2)</f>
        <v>9.7929764772705023E-7</v>
      </c>
      <c r="T152" s="111">
        <f>G152/($AL$5*AH152*0.001*Table1123457[[#This Row],[pho (%)]])</f>
        <v>3.6703022768111836E-6</v>
      </c>
      <c r="U152" s="145">
        <f>Table1123457[[#This Row],[M (KN.mm)]]/(Table1123457[[#This Row],[b (mm)]]*Table1123457[[#This Row],[d (mm)]]*Table1123457[[#This Row],[pho (%)]])</f>
        <v>0.85705820941847011</v>
      </c>
      <c r="V152" s="145">
        <f>E152*224.8/(2*SQRT(Table1123457[[#This Row],[fc (Mpa)]]*145.037)*Table1123457[[#This Row],[b (mm)]]*Table1123457[[#This Row],[d (mm)]]*(1/25.4)^2)</f>
        <v>0.98028247509067257</v>
      </c>
      <c r="W152" s="145">
        <f>Table1123457[[#This Row],[M (KN.mm)]]/$G$157</f>
        <v>0.43478260869565216</v>
      </c>
      <c r="X152" s="111">
        <f t="shared" si="23"/>
        <v>0.98028247509067257</v>
      </c>
      <c r="Y152" s="111">
        <v>810</v>
      </c>
      <c r="Z152" s="111">
        <v>280</v>
      </c>
      <c r="AA152" s="111">
        <v>310</v>
      </c>
      <c r="AB152" s="111">
        <v>122</v>
      </c>
      <c r="AC152" s="7">
        <v>29.1</v>
      </c>
      <c r="AD152" s="135">
        <f>Table1123457[[#This Row],[pho (%)]]/100*Table1123457[[#This Row],[b (mm)]]*Table1123457[[#This Row],[h (mm)]]</f>
        <v>313.90600000000001</v>
      </c>
      <c r="AE152" s="135">
        <v>0.83</v>
      </c>
      <c r="AF152" s="160">
        <v>525</v>
      </c>
      <c r="AG152" s="135">
        <f>(1/3-0.21*(MIN(Table1123457[[#This Row],[b (mm)]],AA152)/MAX(Table1123457[[#This Row],[b (mm)]],AA152))*(MIN(Table1123457[[#This Row],[b (mm)]],AA152)^4/(12*MAX(Table1123457[[#This Row],[b (mm)]],AA152)^4)))*MAX(Table1123457[[#This Row],[b (mm)]],AA152)*MIN(Table1123457[[#This Row],[b (mm)]],AA152)^3</f>
        <v>187544629.45683298</v>
      </c>
      <c r="AH152" s="135">
        <f>Table1123457[[#This Row],[b (mm)]]*AA152^3/12</f>
        <v>302875166.66666669</v>
      </c>
      <c r="AI152" s="111">
        <v>1620</v>
      </c>
      <c r="AK152" s="107"/>
    </row>
    <row r="153" spans="1:37" x14ac:dyDescent="0.25">
      <c r="A153" s="265" t="s">
        <v>164</v>
      </c>
      <c r="B153" s="265">
        <v>3</v>
      </c>
      <c r="C153" s="185">
        <v>152</v>
      </c>
      <c r="D153" s="185">
        <f>Table1123457[[#This Row],[a (mm)]]/Table1123457[[#This Row],[d (mm)]]</f>
        <v>2.8928571428571428</v>
      </c>
      <c r="E153" s="266">
        <v>37.299999999999997</v>
      </c>
      <c r="F153" s="137">
        <f>Table1123457[[#This Row],[d (mm)]]</f>
        <v>280</v>
      </c>
      <c r="G153" s="135">
        <f t="shared" si="19"/>
        <v>30212.999999999996</v>
      </c>
      <c r="H153" s="135">
        <f t="shared" si="20"/>
        <v>3.7876296062599137E-6</v>
      </c>
      <c r="I153" s="135">
        <f>G153/(Table1123457[[#This Row],[b (mm)]]*Z153^2)</f>
        <v>3.1587696554031446E-3</v>
      </c>
      <c r="J153" s="135">
        <f t="shared" si="21"/>
        <v>0.65475209854191363</v>
      </c>
      <c r="K153" s="135">
        <f t="shared" si="22"/>
        <v>6.333948845202161E-6</v>
      </c>
      <c r="L153" s="135">
        <f>E153/(Table1123457[[#This Row],[b (mm)]]*Z153)</f>
        <v>1.0919203747072599E-3</v>
      </c>
      <c r="M153" s="135">
        <f>Table1123457[[#This Row],[M (KN.mm)]]/(Table1123457[[#This Row],[b (mm)]]*Table1123457[[#This Row],[d (mm)]])</f>
        <v>0.88445550351288049</v>
      </c>
      <c r="N153" s="135">
        <f>Table1123457[[#This Row],[M (KN.mm)]]/(Table1123457[[#This Row],[b (mm)]]*Table1123457[[#This Row],[h (mm)]])</f>
        <v>0.7988630354309888</v>
      </c>
      <c r="O153" s="145">
        <f>Table1123457[[#This Row],[M (KN.mm)]]/(Table1123457[[#This Row],[b (mm)]]*Table1123457[[#This Row],[h (mm)]]*Table1123457[[#This Row],[L(mm)]])</f>
        <v>4.9312533051295605E-4</v>
      </c>
      <c r="P153" s="145">
        <f>Table1123457[[#This Row],[M (KN.mm)]]/(Table1123457[[#This Row],[b (mm)]]*Table1123457[[#This Row],[d (mm)]]*Table1123457[[#This Row],[L(mm)]])</f>
        <v>5.4596018735362996E-4</v>
      </c>
      <c r="Q153" s="145">
        <f>Table1123457[[#This Row],[M (KN.mm)]]/(Table1123457[[#This Row],[b (mm)]]*Table1123457[[#This Row],[h (mm)]]*Table1123457[[#This Row],[L(mm)]]*Table1123457[[#This Row],[fc (Mpa)]])</f>
        <v>1.6945887646493334E-5</v>
      </c>
      <c r="R153" s="145">
        <f>Table1123457[[#This Row],[M (KN.mm)]]/(Table1123457[[#This Row],[b (mm)]]*Table1123457[[#This Row],[h (mm)]]*Table1123457[[#This Row],[L(mm)]]/2)</f>
        <v>9.8625066102591211E-4</v>
      </c>
      <c r="S153" s="145">
        <f>Table1123457[[#This Row],[M (KN.mm)]]/(Table1123457[[#This Row],[a (mm)]]*Table1123457[[#This Row],[b (mm)]]*Table1123457[[#This Row],[h (mm)]]*Table1123457[[#This Row],[L(mm)]]/2)</f>
        <v>1.2175934086739655E-6</v>
      </c>
      <c r="T153" s="111">
        <f>G153/($AL$5*AH153*0.001*Table1123457[[#This Row],[pho (%)]])</f>
        <v>4.5634091641685706E-6</v>
      </c>
      <c r="U153" s="145">
        <f>Table1123457[[#This Row],[M (KN.mm)]]/(Table1123457[[#This Row],[b (mm)]]*Table1123457[[#This Row],[d (mm)]]*Table1123457[[#This Row],[pho (%)]])</f>
        <v>1.0656090403769645</v>
      </c>
      <c r="V153" s="145">
        <f>E153*224.8/(2*SQRT(Table1123457[[#This Row],[fc (Mpa)]]*145.037)*Table1123457[[#This Row],[b (mm)]]*Table1123457[[#This Row],[d (mm)]]*(1/25.4)^2)</f>
        <v>1.2188178773627361</v>
      </c>
      <c r="W153" s="145">
        <f>Table1123457[[#This Row],[M (KN.mm)]]/$G$157</f>
        <v>0.54057971014492745</v>
      </c>
      <c r="X153" s="111">
        <f t="shared" si="23"/>
        <v>1.2188178773627361</v>
      </c>
      <c r="Y153" s="111">
        <v>810</v>
      </c>
      <c r="Z153" s="111">
        <v>280</v>
      </c>
      <c r="AA153" s="111">
        <v>310</v>
      </c>
      <c r="AB153" s="111">
        <v>122</v>
      </c>
      <c r="AC153" s="7">
        <v>29.1</v>
      </c>
      <c r="AD153" s="135">
        <f>Table1123457[[#This Row],[pho (%)]]/100*Table1123457[[#This Row],[b (mm)]]*Table1123457[[#This Row],[h (mm)]]</f>
        <v>313.90600000000001</v>
      </c>
      <c r="AE153" s="135">
        <v>0.83</v>
      </c>
      <c r="AF153" s="160">
        <v>525</v>
      </c>
      <c r="AG153" s="135">
        <f>(1/3-0.21*(MIN(Table1123457[[#This Row],[b (mm)]],AA153)/MAX(Table1123457[[#This Row],[b (mm)]],AA153))*(MIN(Table1123457[[#This Row],[b (mm)]],AA153)^4/(12*MAX(Table1123457[[#This Row],[b (mm)]],AA153)^4)))*MAX(Table1123457[[#This Row],[b (mm)]],AA153)*MIN(Table1123457[[#This Row],[b (mm)]],AA153)^3</f>
        <v>187544629.45683298</v>
      </c>
      <c r="AH153" s="135">
        <f>Table1123457[[#This Row],[b (mm)]]*AA153^3/12</f>
        <v>302875166.66666669</v>
      </c>
      <c r="AI153" s="111">
        <v>1620</v>
      </c>
      <c r="AK153" s="107"/>
    </row>
    <row r="154" spans="1:37" x14ac:dyDescent="0.25">
      <c r="A154" s="265" t="s">
        <v>164</v>
      </c>
      <c r="B154" s="265">
        <v>4</v>
      </c>
      <c r="C154" s="185">
        <v>153</v>
      </c>
      <c r="D154" s="185">
        <f>Table1123457[[#This Row],[a (mm)]]/Table1123457[[#This Row],[d (mm)]]</f>
        <v>2.8928571428571428</v>
      </c>
      <c r="E154" s="266">
        <v>42.9</v>
      </c>
      <c r="F154" s="137">
        <f>Table1123457[[#This Row],[d (mm)]]</f>
        <v>280</v>
      </c>
      <c r="G154" s="135">
        <f t="shared" si="19"/>
        <v>34749</v>
      </c>
      <c r="H154" s="135">
        <f t="shared" si="20"/>
        <v>4.3562817723471934E-6</v>
      </c>
      <c r="I154" s="135">
        <f>G154/(Table1123457[[#This Row],[b (mm)]]*Z154^2)</f>
        <v>3.6330085312813649E-3</v>
      </c>
      <c r="J154" s="135">
        <f t="shared" si="21"/>
        <v>0.75305268170102135</v>
      </c>
      <c r="K154" s="135">
        <f t="shared" si="22"/>
        <v>7.2848902267874724E-6</v>
      </c>
      <c r="L154" s="135">
        <f>E154/(Table1123457[[#This Row],[b (mm)]]*Z154)</f>
        <v>1.2558548009367681E-3</v>
      </c>
      <c r="M154" s="135">
        <f>Table1123457[[#This Row],[M (KN.mm)]]/(Table1123457[[#This Row],[b (mm)]]*Table1123457[[#This Row],[d (mm)]])</f>
        <v>1.0172423887587823</v>
      </c>
      <c r="N154" s="135">
        <f>Table1123457[[#This Row],[M (KN.mm)]]/(Table1123457[[#This Row],[b (mm)]]*Table1123457[[#This Row],[h (mm)]])</f>
        <v>0.91879957694341619</v>
      </c>
      <c r="O154" s="145">
        <f>Table1123457[[#This Row],[M (KN.mm)]]/(Table1123457[[#This Row],[b (mm)]]*Table1123457[[#This Row],[h (mm)]]*Table1123457[[#This Row],[L(mm)]])</f>
        <v>5.6716023268112115E-4</v>
      </c>
      <c r="P154" s="145">
        <f>Table1123457[[#This Row],[M (KN.mm)]]/(Table1123457[[#This Row],[b (mm)]]*Table1123457[[#This Row],[d (mm)]]*Table1123457[[#This Row],[L(mm)]])</f>
        <v>6.2792740046838406E-4</v>
      </c>
      <c r="Q154" s="145">
        <f>Table1123457[[#This Row],[M (KN.mm)]]/(Table1123457[[#This Row],[b (mm)]]*Table1123457[[#This Row],[h (mm)]]*Table1123457[[#This Row],[L(mm)]]*Table1123457[[#This Row],[fc (Mpa)]])</f>
        <v>1.9490042360175983E-5</v>
      </c>
      <c r="R154" s="145">
        <f>Table1123457[[#This Row],[M (KN.mm)]]/(Table1123457[[#This Row],[b (mm)]]*Table1123457[[#This Row],[h (mm)]]*Table1123457[[#This Row],[L(mm)]]/2)</f>
        <v>1.1343204653622423E-3</v>
      </c>
      <c r="S154" s="145">
        <f>Table1123457[[#This Row],[M (KN.mm)]]/(Table1123457[[#This Row],[a (mm)]]*Table1123457[[#This Row],[b (mm)]]*Table1123457[[#This Row],[h (mm)]]*Table1123457[[#This Row],[L(mm)]]/2)</f>
        <v>1.4003956362496818E-6</v>
      </c>
      <c r="T154" s="111">
        <f>G154/($AL$5*AH154*0.001*Table1123457[[#This Row],[pho (%)]])</f>
        <v>5.248532255839992E-6</v>
      </c>
      <c r="U154" s="145">
        <f>Table1123457[[#This Row],[M (KN.mm)]]/(Table1123457[[#This Row],[b (mm)]]*Table1123457[[#This Row],[d (mm)]]*Table1123457[[#This Row],[pho (%)]])</f>
        <v>1.2255932394684124</v>
      </c>
      <c r="V154" s="145">
        <f>E154*224.8/(2*SQRT(Table1123457[[#This Row],[fc (Mpa)]]*145.037)*Table1123457[[#This Row],[b (mm)]]*Table1123457[[#This Row],[d (mm)]]*(1/25.4)^2)</f>
        <v>1.4018039393796617</v>
      </c>
      <c r="W154" s="145">
        <f>Table1123457[[#This Row],[M (KN.mm)]]/$G$157</f>
        <v>0.62173913043478257</v>
      </c>
      <c r="X154" s="111">
        <f t="shared" si="23"/>
        <v>1.4018039393796617</v>
      </c>
      <c r="Y154" s="111">
        <v>810</v>
      </c>
      <c r="Z154" s="111">
        <v>280</v>
      </c>
      <c r="AA154" s="111">
        <v>310</v>
      </c>
      <c r="AB154" s="111">
        <v>122</v>
      </c>
      <c r="AC154" s="7">
        <v>29.1</v>
      </c>
      <c r="AD154" s="135">
        <f>Table1123457[[#This Row],[pho (%)]]/100*Table1123457[[#This Row],[b (mm)]]*Table1123457[[#This Row],[h (mm)]]</f>
        <v>313.90600000000001</v>
      </c>
      <c r="AE154" s="135">
        <v>0.83</v>
      </c>
      <c r="AF154" s="160">
        <v>525</v>
      </c>
      <c r="AG154" s="135">
        <f>(1/3-0.21*(MIN(Table1123457[[#This Row],[b (mm)]],AA154)/MAX(Table1123457[[#This Row],[b (mm)]],AA154))*(MIN(Table1123457[[#This Row],[b (mm)]],AA154)^4/(12*MAX(Table1123457[[#This Row],[b (mm)]],AA154)^4)))*MAX(Table1123457[[#This Row],[b (mm)]],AA154)*MIN(Table1123457[[#This Row],[b (mm)]],AA154)^3</f>
        <v>187544629.45683298</v>
      </c>
      <c r="AH154" s="135">
        <f>Table1123457[[#This Row],[b (mm)]]*AA154^3/12</f>
        <v>302875166.66666669</v>
      </c>
      <c r="AI154" s="111">
        <v>1620</v>
      </c>
      <c r="AK154" s="107"/>
    </row>
    <row r="155" spans="1:37" x14ac:dyDescent="0.25">
      <c r="A155" s="265" t="s">
        <v>164</v>
      </c>
      <c r="B155" s="265">
        <v>5</v>
      </c>
      <c r="C155" s="185">
        <v>154</v>
      </c>
      <c r="D155" s="185">
        <f>Table1123457[[#This Row],[a (mm)]]/Table1123457[[#This Row],[d (mm)]]</f>
        <v>2.8928571428571428</v>
      </c>
      <c r="E155" s="266">
        <v>53</v>
      </c>
      <c r="F155" s="137">
        <f>Table1123457[[#This Row],[d (mm)]]</f>
        <v>280</v>
      </c>
      <c r="G155" s="135">
        <f t="shared" si="19"/>
        <v>42930</v>
      </c>
      <c r="H155" s="135">
        <f t="shared" si="20"/>
        <v>5.3818865718974651E-6</v>
      </c>
      <c r="I155" s="135">
        <f>G155/(Table1123457[[#This Row],[b (mm)]]*Z155^2)</f>
        <v>4.488332218133155E-3</v>
      </c>
      <c r="J155" s="135">
        <f t="shared" si="21"/>
        <v>0.93034480489869775</v>
      </c>
      <c r="K155" s="135">
        <f t="shared" si="22"/>
        <v>8.9999809328609803E-6</v>
      </c>
      <c r="L155" s="135">
        <f>E155/(Table1123457[[#This Row],[b (mm)]]*Z155)</f>
        <v>1.5515222482435597E-3</v>
      </c>
      <c r="M155" s="135">
        <f>Table1123457[[#This Row],[M (KN.mm)]]/(Table1123457[[#This Row],[b (mm)]]*Table1123457[[#This Row],[d (mm)]])</f>
        <v>1.2567330210772834</v>
      </c>
      <c r="N155" s="135">
        <f>Table1123457[[#This Row],[M (KN.mm)]]/(Table1123457[[#This Row],[b (mm)]]*Table1123457[[#This Row],[h (mm)]])</f>
        <v>1.1351136964569011</v>
      </c>
      <c r="O155" s="145">
        <f>Table1123457[[#This Row],[M (KN.mm)]]/(Table1123457[[#This Row],[b (mm)]]*Table1123457[[#This Row],[h (mm)]]*Table1123457[[#This Row],[L(mm)]])</f>
        <v>7.0068746694870439E-4</v>
      </c>
      <c r="P155" s="145">
        <f>Table1123457[[#This Row],[M (KN.mm)]]/(Table1123457[[#This Row],[b (mm)]]*Table1123457[[#This Row],[d (mm)]]*Table1123457[[#This Row],[L(mm)]])</f>
        <v>7.7576112412177983E-4</v>
      </c>
      <c r="Q155" s="145">
        <f>Table1123457[[#This Row],[M (KN.mm)]]/(Table1123457[[#This Row],[b (mm)]]*Table1123457[[#This Row],[h (mm)]]*Table1123457[[#This Row],[L(mm)]]*Table1123457[[#This Row],[fc (Mpa)]])</f>
        <v>2.4078607111639325E-5</v>
      </c>
      <c r="R155" s="145">
        <f>Table1123457[[#This Row],[M (KN.mm)]]/(Table1123457[[#This Row],[b (mm)]]*Table1123457[[#This Row],[h (mm)]]*Table1123457[[#This Row],[L(mm)]]/2)</f>
        <v>1.4013749338974088E-3</v>
      </c>
      <c r="S155" s="145">
        <f>Table1123457[[#This Row],[M (KN.mm)]]/(Table1123457[[#This Row],[a (mm)]]*Table1123457[[#This Row],[b (mm)]]*Table1123457[[#This Row],[h (mm)]]*Table1123457[[#This Row],[L(mm)]]/2)</f>
        <v>1.7300925109844553E-6</v>
      </c>
      <c r="T155" s="111">
        <f>G155/($AL$5*AH155*0.001*Table1123457[[#This Row],[pho (%)]])</f>
        <v>6.484200689033091E-6</v>
      </c>
      <c r="U155" s="145">
        <f>Table1123457[[#This Row],[M (KN.mm)]]/(Table1123457[[#This Row],[b (mm)]]*Table1123457[[#This Row],[d (mm)]]*Table1123457[[#This Row],[pho (%)]])</f>
        <v>1.5141361699726306</v>
      </c>
      <c r="V155" s="145">
        <f>E155*224.8/(2*SQRT(Table1123457[[#This Row],[fc (Mpa)]]*145.037)*Table1123457[[#This Row],[b (mm)]]*Table1123457[[#This Row],[d (mm)]]*(1/25.4)^2)</f>
        <v>1.7318323726601883</v>
      </c>
      <c r="W155" s="145">
        <f>Table1123457[[#This Row],[M (KN.mm)]]/$G$157</f>
        <v>0.76811594202898548</v>
      </c>
      <c r="X155" s="111">
        <f t="shared" si="23"/>
        <v>1.7318323726601883</v>
      </c>
      <c r="Y155" s="111">
        <v>810</v>
      </c>
      <c r="Z155" s="111">
        <v>280</v>
      </c>
      <c r="AA155" s="111">
        <v>310</v>
      </c>
      <c r="AB155" s="111">
        <v>122</v>
      </c>
      <c r="AC155" s="7">
        <v>29.1</v>
      </c>
      <c r="AD155" s="135">
        <f>Table1123457[[#This Row],[pho (%)]]/100*Table1123457[[#This Row],[b (mm)]]*Table1123457[[#This Row],[h (mm)]]</f>
        <v>313.90600000000001</v>
      </c>
      <c r="AE155" s="135">
        <v>0.83</v>
      </c>
      <c r="AF155" s="160">
        <v>525</v>
      </c>
      <c r="AG155" s="135">
        <f>(1/3-0.21*(MIN(Table1123457[[#This Row],[b (mm)]],AA155)/MAX(Table1123457[[#This Row],[b (mm)]],AA155))*(MIN(Table1123457[[#This Row],[b (mm)]],AA155)^4/(12*MAX(Table1123457[[#This Row],[b (mm)]],AA155)^4)))*MAX(Table1123457[[#This Row],[b (mm)]],AA155)*MIN(Table1123457[[#This Row],[b (mm)]],AA155)^3</f>
        <v>187544629.45683298</v>
      </c>
      <c r="AH155" s="135">
        <f>Table1123457[[#This Row],[b (mm)]]*AA155^3/12</f>
        <v>302875166.66666669</v>
      </c>
      <c r="AI155" s="111">
        <v>1620</v>
      </c>
      <c r="AK155" s="107"/>
    </row>
    <row r="156" spans="1:37" x14ac:dyDescent="0.25">
      <c r="A156" s="265" t="s">
        <v>164</v>
      </c>
      <c r="B156" s="265">
        <v>6</v>
      </c>
      <c r="C156" s="185">
        <v>155</v>
      </c>
      <c r="D156" s="185">
        <f>Table1123457[[#This Row],[a (mm)]]/Table1123457[[#This Row],[d (mm)]]</f>
        <v>2.8928571428571428</v>
      </c>
      <c r="E156" s="266">
        <v>63</v>
      </c>
      <c r="F156" s="137">
        <f>Table1123457[[#This Row],[d (mm)]]</f>
        <v>280</v>
      </c>
      <c r="G156" s="135">
        <f t="shared" si="19"/>
        <v>51030</v>
      </c>
      <c r="H156" s="135">
        <f t="shared" si="20"/>
        <v>6.3973368684818932E-6</v>
      </c>
      <c r="I156" s="135">
        <f>G156/(Table1123457[[#This Row],[b (mm)]]*Z156^2)</f>
        <v>5.3351873536299768E-3</v>
      </c>
      <c r="J156" s="135">
        <f t="shared" si="21"/>
        <v>1.1058815605399615</v>
      </c>
      <c r="K156" s="135">
        <f t="shared" si="22"/>
        <v>1.069809054283475E-5</v>
      </c>
      <c r="L156" s="135">
        <f>E156/(Table1123457[[#This Row],[b (mm)]]*Z156)</f>
        <v>1.8442622950819673E-3</v>
      </c>
      <c r="M156" s="135">
        <f>Table1123457[[#This Row],[M (KN.mm)]]/(Table1123457[[#This Row],[b (mm)]]*Table1123457[[#This Row],[d (mm)]])</f>
        <v>1.4938524590163935</v>
      </c>
      <c r="N156" s="135">
        <f>Table1123457[[#This Row],[M (KN.mm)]]/(Table1123457[[#This Row],[b (mm)]]*Table1123457[[#This Row],[h (mm)]])</f>
        <v>1.3492860920148069</v>
      </c>
      <c r="O156" s="145">
        <f>Table1123457[[#This Row],[M (KN.mm)]]/(Table1123457[[#This Row],[b (mm)]]*Table1123457[[#This Row],[h (mm)]]*Table1123457[[#This Row],[L(mm)]])</f>
        <v>8.3289264939185616E-4</v>
      </c>
      <c r="P156" s="145">
        <f>Table1123457[[#This Row],[M (KN.mm)]]/(Table1123457[[#This Row],[b (mm)]]*Table1123457[[#This Row],[d (mm)]]*Table1123457[[#This Row],[L(mm)]])</f>
        <v>9.2213114754098363E-4</v>
      </c>
      <c r="Q156" s="145">
        <f>Table1123457[[#This Row],[M (KN.mm)]]/(Table1123457[[#This Row],[b (mm)]]*Table1123457[[#This Row],[h (mm)]]*Table1123457[[#This Row],[L(mm)]]*Table1123457[[#This Row],[fc (Mpa)]])</f>
        <v>2.8621740528929765E-5</v>
      </c>
      <c r="R156" s="145">
        <f>Table1123457[[#This Row],[M (KN.mm)]]/(Table1123457[[#This Row],[b (mm)]]*Table1123457[[#This Row],[h (mm)]]*Table1123457[[#This Row],[L(mm)]]/2)</f>
        <v>1.6657852987837123E-3</v>
      </c>
      <c r="S156" s="145">
        <f>Table1123457[[#This Row],[M (KN.mm)]]/(Table1123457[[#This Row],[a (mm)]]*Table1123457[[#This Row],[b (mm)]]*Table1123457[[#This Row],[h (mm)]]*Table1123457[[#This Row],[L(mm)]]/2)</f>
        <v>2.0565250602268053E-6</v>
      </c>
      <c r="T156" s="111">
        <f>G156/($AL$5*AH156*0.001*Table1123457[[#This Row],[pho (%)]])</f>
        <v>7.7076347813034855E-6</v>
      </c>
      <c r="U156" s="145">
        <f>Table1123457[[#This Row],[M (KN.mm)]]/(Table1123457[[#This Row],[b (mm)]]*Table1123457[[#This Row],[d (mm)]]*Table1123457[[#This Row],[pho (%)]])</f>
        <v>1.7998222397787873</v>
      </c>
      <c r="V156" s="145">
        <f>E156*224.8/(2*SQRT(Table1123457[[#This Row],[fc (Mpa)]]*145.037)*Table1123457[[#This Row],[b (mm)]]*Table1123457[[#This Row],[d (mm)]]*(1/25.4)^2)</f>
        <v>2.0585931976904126</v>
      </c>
      <c r="W156" s="145">
        <f>Table1123457[[#This Row],[M (KN.mm)]]/$G$157</f>
        <v>0.91304347826086951</v>
      </c>
      <c r="X156" s="111">
        <f t="shared" si="23"/>
        <v>2.0585931976904126</v>
      </c>
      <c r="Y156" s="111">
        <v>810</v>
      </c>
      <c r="Z156" s="111">
        <v>280</v>
      </c>
      <c r="AA156" s="111">
        <v>310</v>
      </c>
      <c r="AB156" s="111">
        <v>122</v>
      </c>
      <c r="AC156" s="7">
        <v>29.1</v>
      </c>
      <c r="AD156" s="135">
        <f>Table1123457[[#This Row],[pho (%)]]/100*Table1123457[[#This Row],[b (mm)]]*Table1123457[[#This Row],[h (mm)]]</f>
        <v>313.90600000000001</v>
      </c>
      <c r="AE156" s="135">
        <v>0.83</v>
      </c>
      <c r="AF156" s="160">
        <v>525</v>
      </c>
      <c r="AG156" s="135">
        <f>(1/3-0.21*(MIN(Table1123457[[#This Row],[b (mm)]],AA156)/MAX(Table1123457[[#This Row],[b (mm)]],AA156))*(MIN(Table1123457[[#This Row],[b (mm)]],AA156)^4/(12*MAX(Table1123457[[#This Row],[b (mm)]],AA156)^4)))*MAX(Table1123457[[#This Row],[b (mm)]],AA156)*MIN(Table1123457[[#This Row],[b (mm)]],AA156)^3</f>
        <v>187544629.45683298</v>
      </c>
      <c r="AH156" s="135">
        <f>Table1123457[[#This Row],[b (mm)]]*AA156^3/12</f>
        <v>302875166.66666669</v>
      </c>
      <c r="AI156" s="111">
        <v>1620</v>
      </c>
      <c r="AK156" s="107"/>
    </row>
    <row r="157" spans="1:37" x14ac:dyDescent="0.25">
      <c r="A157" s="265" t="s">
        <v>164</v>
      </c>
      <c r="B157" s="265" t="s">
        <v>141</v>
      </c>
      <c r="C157" s="185">
        <v>156</v>
      </c>
      <c r="D157" s="185">
        <f>Table1123457[[#This Row],[a (mm)]]/Table1123457[[#This Row],[d (mm)]]</f>
        <v>2.8928571428571428</v>
      </c>
      <c r="E157" s="266">
        <v>69</v>
      </c>
      <c r="F157" s="137">
        <f>Table1123457[[#This Row],[d (mm)]]</f>
        <v>280</v>
      </c>
      <c r="G157" s="135">
        <f t="shared" si="19"/>
        <v>55890</v>
      </c>
      <c r="H157" s="135">
        <f t="shared" si="20"/>
        <v>7.0066070464325496E-6</v>
      </c>
      <c r="I157" s="135">
        <f>G157/(Table1123457[[#This Row],[b (mm)]]*Z157^2)</f>
        <v>5.8433004349280693E-3</v>
      </c>
      <c r="J157" s="135">
        <f t="shared" si="21"/>
        <v>1.2112036139247198</v>
      </c>
      <c r="K157" s="135">
        <f t="shared" si="22"/>
        <v>1.1716956308819012E-5</v>
      </c>
      <c r="L157" s="135">
        <f>E157/(Table1123457[[#This Row],[b (mm)]]*Z157)</f>
        <v>2.0199063231850119E-3</v>
      </c>
      <c r="M157" s="135">
        <f>Table1123457[[#This Row],[M (KN.mm)]]/(Table1123457[[#This Row],[b (mm)]]*Table1123457[[#This Row],[d (mm)]])</f>
        <v>1.6361241217798594</v>
      </c>
      <c r="N157" s="135">
        <f>Table1123457[[#This Row],[M (KN.mm)]]/(Table1123457[[#This Row],[b (mm)]]*Table1123457[[#This Row],[h (mm)]])</f>
        <v>1.4777895293495504</v>
      </c>
      <c r="O157" s="145">
        <f>Table1123457[[#This Row],[M (KN.mm)]]/(Table1123457[[#This Row],[b (mm)]]*Table1123457[[#This Row],[h (mm)]]*Table1123457[[#This Row],[L(mm)]])</f>
        <v>9.1221575885774722E-4</v>
      </c>
      <c r="P157" s="145">
        <f>Table1123457[[#This Row],[M (KN.mm)]]/(Table1123457[[#This Row],[b (mm)]]*Table1123457[[#This Row],[d (mm)]]*Table1123457[[#This Row],[L(mm)]])</f>
        <v>1.0099531615925059E-3</v>
      </c>
      <c r="Q157" s="145">
        <f>Table1123457[[#This Row],[M (KN.mm)]]/(Table1123457[[#This Row],[b (mm)]]*Table1123457[[#This Row],[h (mm)]]*Table1123457[[#This Row],[L(mm)]]*Table1123457[[#This Row],[fc (Mpa)]])</f>
        <v>3.1347620579304026E-5</v>
      </c>
      <c r="R157" s="145">
        <f>Table1123457[[#This Row],[M (KN.mm)]]/(Table1123457[[#This Row],[b (mm)]]*Table1123457[[#This Row],[h (mm)]]*Table1123457[[#This Row],[L(mm)]]/2)</f>
        <v>1.8244315177154944E-3</v>
      </c>
      <c r="S157" s="145">
        <f>Table1123457[[#This Row],[M (KN.mm)]]/(Table1123457[[#This Row],[a (mm)]]*Table1123457[[#This Row],[b (mm)]]*Table1123457[[#This Row],[h (mm)]]*Table1123457[[#This Row],[L(mm)]]/2)</f>
        <v>2.2523845897722155E-6</v>
      </c>
      <c r="T157" s="111">
        <f>G157/($AL$5*AH157*0.001*Table1123457[[#This Row],[pho (%)]])</f>
        <v>8.4416952366657222E-6</v>
      </c>
      <c r="U157" s="145">
        <f>Table1123457[[#This Row],[M (KN.mm)]]/(Table1123457[[#This Row],[b (mm)]]*Table1123457[[#This Row],[d (mm)]]*Table1123457[[#This Row],[pho (%)]])</f>
        <v>1.9712338816624813</v>
      </c>
      <c r="V157" s="145">
        <f>E157*224.8/(2*SQRT(Table1123457[[#This Row],[fc (Mpa)]]*145.037)*Table1123457[[#This Row],[b (mm)]]*Table1123457[[#This Row],[d (mm)]]*(1/25.4)^2)</f>
        <v>2.2546496927085471</v>
      </c>
      <c r="W157" s="145">
        <f>Table1123457[[#This Row],[M (KN.mm)]]/$G$157</f>
        <v>1</v>
      </c>
      <c r="X157" s="111">
        <f t="shared" si="23"/>
        <v>2.2546496927085471</v>
      </c>
      <c r="Y157" s="111">
        <v>810</v>
      </c>
      <c r="Z157" s="111">
        <v>280</v>
      </c>
      <c r="AA157" s="111">
        <v>310</v>
      </c>
      <c r="AB157" s="111">
        <v>122</v>
      </c>
      <c r="AC157" s="7">
        <v>29.1</v>
      </c>
      <c r="AD157" s="135">
        <f>Table1123457[[#This Row],[pho (%)]]/100*Table1123457[[#This Row],[b (mm)]]*Table1123457[[#This Row],[h (mm)]]</f>
        <v>313.90600000000001</v>
      </c>
      <c r="AE157" s="135">
        <v>0.83</v>
      </c>
      <c r="AF157" s="160">
        <v>525</v>
      </c>
      <c r="AG157" s="135">
        <f>(1/3-0.21*(MIN(Table1123457[[#This Row],[b (mm)]],AA157)/MAX(Table1123457[[#This Row],[b (mm)]],AA157))*(MIN(Table1123457[[#This Row],[b (mm)]],AA157)^4/(12*MAX(Table1123457[[#This Row],[b (mm)]],AA157)^4)))*MAX(Table1123457[[#This Row],[b (mm)]],AA157)*MIN(Table1123457[[#This Row],[b (mm)]],AA157)^3</f>
        <v>187544629.45683298</v>
      </c>
      <c r="AH157" s="135">
        <f>Table1123457[[#This Row],[b (mm)]]*AA157^3/12</f>
        <v>302875166.66666669</v>
      </c>
      <c r="AI157" s="111">
        <v>1620</v>
      </c>
      <c r="AK157" s="107"/>
    </row>
    <row r="158" spans="1:37" x14ac:dyDescent="0.25">
      <c r="A158" s="267" t="s">
        <v>165</v>
      </c>
      <c r="B158" s="267">
        <v>1</v>
      </c>
      <c r="C158" s="185">
        <v>157</v>
      </c>
      <c r="D158" s="185">
        <f>Table1123457[[#This Row],[a (mm)]]/Table1123457[[#This Row],[d (mm)]]</f>
        <v>2.8928571428571428</v>
      </c>
      <c r="E158" s="268">
        <v>18.600000000000001</v>
      </c>
      <c r="F158" s="137">
        <f>Table1123457[[#This Row],[d (mm)]]</f>
        <v>280</v>
      </c>
      <c r="G158" s="135">
        <f t="shared" si="19"/>
        <v>15066.000000000002</v>
      </c>
      <c r="H158" s="135">
        <f t="shared" si="20"/>
        <v>1.8887375516470353E-6</v>
      </c>
      <c r="I158" s="135">
        <f>G158/(Table1123457[[#This Row],[b (mm)]]*Z158^2)</f>
        <v>1.5751505520240885E-3</v>
      </c>
      <c r="J158" s="135">
        <f t="shared" si="21"/>
        <v>0.32649836549275058</v>
      </c>
      <c r="K158" s="135">
        <f t="shared" si="22"/>
        <v>3.1584838745512118E-6</v>
      </c>
      <c r="L158" s="135">
        <f>E158/(Table1123457[[#This Row],[b (mm)]]*Z158)</f>
        <v>5.4449648711943799E-4</v>
      </c>
      <c r="M158" s="135">
        <f>Table1123457[[#This Row],[M (KN.mm)]]/(Table1123457[[#This Row],[b (mm)]]*Table1123457[[#This Row],[d (mm)]])</f>
        <v>0.44104215456674478</v>
      </c>
      <c r="N158" s="135">
        <f>Table1123457[[#This Row],[M (KN.mm)]]/(Table1123457[[#This Row],[b (mm)]]*Table1123457[[#This Row],[h (mm)]])</f>
        <v>0.39836065573770496</v>
      </c>
      <c r="O158" s="145">
        <f>Table1123457[[#This Row],[M (KN.mm)]]/(Table1123457[[#This Row],[b (mm)]]*Table1123457[[#This Row],[h (mm)]]*Table1123457[[#This Row],[L(mm)]])</f>
        <v>2.4590163934426235E-4</v>
      </c>
      <c r="P158" s="145">
        <f>Table1123457[[#This Row],[M (KN.mm)]]/(Table1123457[[#This Row],[b (mm)]]*Table1123457[[#This Row],[d (mm)]]*Table1123457[[#This Row],[L(mm)]])</f>
        <v>2.72248243559719E-4</v>
      </c>
      <c r="Q158" s="145">
        <f>Table1123457[[#This Row],[M (KN.mm)]]/(Table1123457[[#This Row],[b (mm)]]*Table1123457[[#This Row],[h (mm)]]*Table1123457[[#This Row],[L(mm)]]*Table1123457[[#This Row],[fc (Mpa)]])</f>
        <v>5.652911249293387E-6</v>
      </c>
      <c r="R158" s="145">
        <f>Table1123457[[#This Row],[M (KN.mm)]]/(Table1123457[[#This Row],[b (mm)]]*Table1123457[[#This Row],[h (mm)]]*Table1123457[[#This Row],[L(mm)]]/2)</f>
        <v>4.918032786885247E-4</v>
      </c>
      <c r="S158" s="145">
        <f>Table1123457[[#This Row],[M (KN.mm)]]/(Table1123457[[#This Row],[a (mm)]]*Table1123457[[#This Row],[b (mm)]]*Table1123457[[#This Row],[h (mm)]]*Table1123457[[#This Row],[L(mm)]]/2)</f>
        <v>6.0716454159077118E-7</v>
      </c>
      <c r="T158" s="111">
        <f>G158/($AL$5*AH158*0.001*Table1123457[[#This Row],[pho (%)]])</f>
        <v>2.2755874116229339E-6</v>
      </c>
      <c r="U158" s="145">
        <f>Table1123457[[#This Row],[M (KN.mm)]]/(Table1123457[[#This Row],[b (mm)]]*Table1123457[[#This Row],[d (mm)]]*Table1123457[[#This Row],[pho (%)]])</f>
        <v>0.53137608983945162</v>
      </c>
      <c r="V158" s="145">
        <f>E158*224.8/(2*SQRT(Table1123457[[#This Row],[fc (Mpa)]]*145.037)*Table1123457[[#This Row],[b (mm)]]*Table1123457[[#This Row],[d (mm)]]*(1/25.4)^2)</f>
        <v>0.49710118012559978</v>
      </c>
      <c r="W158" s="145">
        <f>Table1123457[[#This Row],[M (KN.mm)]]/$G$164</f>
        <v>0.24313725490196081</v>
      </c>
      <c r="X158" s="111">
        <f t="shared" si="23"/>
        <v>0.49710118012559978</v>
      </c>
      <c r="Y158" s="111">
        <v>810</v>
      </c>
      <c r="Z158" s="111">
        <v>280</v>
      </c>
      <c r="AA158" s="111">
        <v>310</v>
      </c>
      <c r="AB158" s="111">
        <v>122</v>
      </c>
      <c r="AC158" s="7">
        <v>43.5</v>
      </c>
      <c r="AD158" s="135">
        <f>Table1123457[[#This Row],[pho (%)]]/100*Table1123457[[#This Row],[b (mm)]]*Table1123457[[#This Row],[h (mm)]]</f>
        <v>313.90600000000001</v>
      </c>
      <c r="AE158" s="135">
        <v>0.83</v>
      </c>
      <c r="AF158" s="160">
        <v>525</v>
      </c>
      <c r="AG158" s="135">
        <f>(1/3-0.21*(MIN(Table1123457[[#This Row],[b (mm)]],AA158)/MAX(Table1123457[[#This Row],[b (mm)]],AA158))*(MIN(Table1123457[[#This Row],[b (mm)]],AA158)^4/(12*MAX(Table1123457[[#This Row],[b (mm)]],AA158)^4)))*MAX(Table1123457[[#This Row],[b (mm)]],AA158)*MIN(Table1123457[[#This Row],[b (mm)]],AA158)^3</f>
        <v>187544629.45683298</v>
      </c>
      <c r="AH158" s="135">
        <f>Table1123457[[#This Row],[b (mm)]]*AA158^3/12</f>
        <v>302875166.66666669</v>
      </c>
      <c r="AI158" s="111">
        <v>1620</v>
      </c>
      <c r="AK158" s="107"/>
    </row>
    <row r="159" spans="1:37" x14ac:dyDescent="0.25">
      <c r="A159" s="267" t="s">
        <v>165</v>
      </c>
      <c r="B159" s="267">
        <v>2</v>
      </c>
      <c r="C159" s="185">
        <v>158</v>
      </c>
      <c r="D159" s="185">
        <f>Table1123457[[#This Row],[a (mm)]]/Table1123457[[#This Row],[d (mm)]]</f>
        <v>2.8928571428571428</v>
      </c>
      <c r="E159" s="268">
        <v>30.9</v>
      </c>
      <c r="F159" s="137">
        <f>Table1123457[[#This Row],[d (mm)]]</f>
        <v>280</v>
      </c>
      <c r="G159" s="135">
        <f t="shared" si="19"/>
        <v>25029</v>
      </c>
      <c r="H159" s="135">
        <f t="shared" si="20"/>
        <v>3.1377414164458806E-6</v>
      </c>
      <c r="I159" s="135">
        <f>G159/(Table1123457[[#This Row],[b (mm)]]*Z159^2)</f>
        <v>2.616782368685179E-3</v>
      </c>
      <c r="J159" s="135">
        <f t="shared" si="21"/>
        <v>0.54240857493150485</v>
      </c>
      <c r="K159" s="135">
        <f t="shared" si="22"/>
        <v>5.2471586948189485E-6</v>
      </c>
      <c r="L159" s="135">
        <f>E159/(Table1123457[[#This Row],[b (mm)]]*Z159)</f>
        <v>9.0456674473067913E-4</v>
      </c>
      <c r="M159" s="135">
        <f>Table1123457[[#This Row],[M (KN.mm)]]/(Table1123457[[#This Row],[b (mm)]]*Table1123457[[#This Row],[d (mm)]])</f>
        <v>0.73269906323185008</v>
      </c>
      <c r="N159" s="135">
        <f>Table1123457[[#This Row],[M (KN.mm)]]/(Table1123457[[#This Row],[b (mm)]]*Table1123457[[#This Row],[h (mm)]])</f>
        <v>0.66179270227392917</v>
      </c>
      <c r="O159" s="145">
        <f>Table1123457[[#This Row],[M (KN.mm)]]/(Table1123457[[#This Row],[b (mm)]]*Table1123457[[#This Row],[h (mm)]]*Table1123457[[#This Row],[L(mm)]])</f>
        <v>4.0851401374933897E-4</v>
      </c>
      <c r="P159" s="145">
        <f>Table1123457[[#This Row],[M (KN.mm)]]/(Table1123457[[#This Row],[b (mm)]]*Table1123457[[#This Row],[d (mm)]]*Table1123457[[#This Row],[L(mm)]])</f>
        <v>4.5228337236533956E-4</v>
      </c>
      <c r="Q159" s="145">
        <f>Table1123457[[#This Row],[M (KN.mm)]]/(Table1123457[[#This Row],[b (mm)]]*Table1123457[[#This Row],[h (mm)]]*Table1123457[[#This Row],[L(mm)]]*Table1123457[[#This Row],[fc (Mpa)]])</f>
        <v>9.3911267528583673E-6</v>
      </c>
      <c r="R159" s="145">
        <f>Table1123457[[#This Row],[M (KN.mm)]]/(Table1123457[[#This Row],[b (mm)]]*Table1123457[[#This Row],[h (mm)]]*Table1123457[[#This Row],[L(mm)]]/2)</f>
        <v>8.1702802749867795E-4</v>
      </c>
      <c r="S159" s="145">
        <f>Table1123457[[#This Row],[M (KN.mm)]]/(Table1123457[[#This Row],[a (mm)]]*Table1123457[[#This Row],[b (mm)]]*Table1123457[[#This Row],[h (mm)]]*Table1123457[[#This Row],[L(mm)]]/2)</f>
        <v>1.0086765771588617E-6</v>
      </c>
      <c r="T159" s="111">
        <f>G159/($AL$5*AH159*0.001*Table1123457[[#This Row],[pho (%)]])</f>
        <v>3.780411345115519E-6</v>
      </c>
      <c r="U159" s="145">
        <f>Table1123457[[#This Row],[M (KN.mm)]]/(Table1123457[[#This Row],[b (mm)]]*Table1123457[[#This Row],[d (mm)]]*Table1123457[[#This Row],[pho (%)]])</f>
        <v>0.88276995570102423</v>
      </c>
      <c r="V159" s="145">
        <f>E159*224.8/(2*SQRT(Table1123457[[#This Row],[fc (Mpa)]]*145.037)*Table1123457[[#This Row],[b (mm)]]*Table1123457[[#This Row],[d (mm)]]*(1/25.4)^2)</f>
        <v>0.82582937988607685</v>
      </c>
      <c r="W159" s="145">
        <f>Table1123457[[#This Row],[M (KN.mm)]]/$G$164</f>
        <v>0.40392156862745099</v>
      </c>
      <c r="X159" s="111">
        <f t="shared" si="23"/>
        <v>0.82582937988607685</v>
      </c>
      <c r="Y159" s="111">
        <v>810</v>
      </c>
      <c r="Z159" s="111">
        <v>280</v>
      </c>
      <c r="AA159" s="111">
        <v>310</v>
      </c>
      <c r="AB159" s="111">
        <v>122</v>
      </c>
      <c r="AC159" s="7">
        <v>43.5</v>
      </c>
      <c r="AD159" s="135">
        <f>Table1123457[[#This Row],[pho (%)]]/100*Table1123457[[#This Row],[b (mm)]]*Table1123457[[#This Row],[h (mm)]]</f>
        <v>313.90600000000001</v>
      </c>
      <c r="AE159" s="135">
        <v>0.83</v>
      </c>
      <c r="AF159" s="160">
        <v>525</v>
      </c>
      <c r="AG159" s="135">
        <f>(1/3-0.21*(MIN(Table1123457[[#This Row],[b (mm)]],AA159)/MAX(Table1123457[[#This Row],[b (mm)]],AA159))*(MIN(Table1123457[[#This Row],[b (mm)]],AA159)^4/(12*MAX(Table1123457[[#This Row],[b (mm)]],AA159)^4)))*MAX(Table1123457[[#This Row],[b (mm)]],AA159)*MIN(Table1123457[[#This Row],[b (mm)]],AA159)^3</f>
        <v>187544629.45683298</v>
      </c>
      <c r="AH159" s="135">
        <f>Table1123457[[#This Row],[b (mm)]]*AA159^3/12</f>
        <v>302875166.66666669</v>
      </c>
      <c r="AI159" s="111">
        <v>1620</v>
      </c>
      <c r="AK159" s="107"/>
    </row>
    <row r="160" spans="1:37" x14ac:dyDescent="0.25">
      <c r="A160" s="267" t="s">
        <v>165</v>
      </c>
      <c r="B160" s="267">
        <v>3</v>
      </c>
      <c r="C160" s="185">
        <v>159</v>
      </c>
      <c r="D160" s="185">
        <f>Table1123457[[#This Row],[a (mm)]]/Table1123457[[#This Row],[d (mm)]]</f>
        <v>2.8928571428571428</v>
      </c>
      <c r="E160" s="268">
        <v>52.7</v>
      </c>
      <c r="F160" s="137">
        <f>Table1123457[[#This Row],[d (mm)]]</f>
        <v>280</v>
      </c>
      <c r="G160" s="135">
        <f t="shared" si="19"/>
        <v>42687</v>
      </c>
      <c r="H160" s="135">
        <f t="shared" si="20"/>
        <v>5.3514230629999327E-6</v>
      </c>
      <c r="I160" s="135">
        <f>G160/(Table1123457[[#This Row],[b (mm)]]*Z160^2)</f>
        <v>4.4629265640682503E-3</v>
      </c>
      <c r="J160" s="135">
        <f t="shared" si="21"/>
        <v>0.92507870222945976</v>
      </c>
      <c r="K160" s="135">
        <f t="shared" si="22"/>
        <v>8.9490376445617675E-6</v>
      </c>
      <c r="L160" s="135">
        <f>E160/(Table1123457[[#This Row],[b (mm)]]*Z160)</f>
        <v>1.5427400468384076E-3</v>
      </c>
      <c r="M160" s="135">
        <f>Table1123457[[#This Row],[M (KN.mm)]]/(Table1123457[[#This Row],[b (mm)]]*Table1123457[[#This Row],[d (mm)]])</f>
        <v>1.2496194379391101</v>
      </c>
      <c r="N160" s="135">
        <f>Table1123457[[#This Row],[M (KN.mm)]]/(Table1123457[[#This Row],[b (mm)]]*Table1123457[[#This Row],[h (mm)]])</f>
        <v>1.1286885245901639</v>
      </c>
      <c r="O160" s="145">
        <f>Table1123457[[#This Row],[M (KN.mm)]]/(Table1123457[[#This Row],[b (mm)]]*Table1123457[[#This Row],[h (mm)]]*Table1123457[[#This Row],[L(mm)]])</f>
        <v>6.9672131147540989E-4</v>
      </c>
      <c r="P160" s="145">
        <f>Table1123457[[#This Row],[M (KN.mm)]]/(Table1123457[[#This Row],[b (mm)]]*Table1123457[[#This Row],[d (mm)]]*Table1123457[[#This Row],[L(mm)]])</f>
        <v>7.7137002341920371E-4</v>
      </c>
      <c r="Q160" s="145">
        <f>Table1123457[[#This Row],[M (KN.mm)]]/(Table1123457[[#This Row],[b (mm)]]*Table1123457[[#This Row],[h (mm)]]*Table1123457[[#This Row],[L(mm)]]*Table1123457[[#This Row],[fc (Mpa)]])</f>
        <v>1.6016581872997929E-5</v>
      </c>
      <c r="R160" s="145">
        <f>Table1123457[[#This Row],[M (KN.mm)]]/(Table1123457[[#This Row],[b (mm)]]*Table1123457[[#This Row],[h (mm)]]*Table1123457[[#This Row],[L(mm)]]/2)</f>
        <v>1.3934426229508198E-3</v>
      </c>
      <c r="S160" s="145">
        <f>Table1123457[[#This Row],[M (KN.mm)]]/(Table1123457[[#This Row],[a (mm)]]*Table1123457[[#This Row],[b (mm)]]*Table1123457[[#This Row],[h (mm)]]*Table1123457[[#This Row],[L(mm)]]/2)</f>
        <v>1.7202995345071848E-6</v>
      </c>
      <c r="T160" s="111">
        <f>G160/($AL$5*AH160*0.001*Table1123457[[#This Row],[pho (%)]])</f>
        <v>6.4474976662649793E-6</v>
      </c>
      <c r="U160" s="145">
        <f>Table1123457[[#This Row],[M (KN.mm)]]/(Table1123457[[#This Row],[b (mm)]]*Table1123457[[#This Row],[d (mm)]]*Table1123457[[#This Row],[pho (%)]])</f>
        <v>1.505565587878446</v>
      </c>
      <c r="V160" s="145">
        <f>E160*224.8/(2*SQRT(Table1123457[[#This Row],[fc (Mpa)]]*145.037)*Table1123457[[#This Row],[b (mm)]]*Table1123457[[#This Row],[d (mm)]]*(1/25.4)^2)</f>
        <v>1.4084533436891993</v>
      </c>
      <c r="W160" s="145">
        <f>Table1123457[[#This Row],[M (KN.mm)]]/$G$164</f>
        <v>0.68888888888888888</v>
      </c>
      <c r="X160" s="111">
        <f t="shared" si="23"/>
        <v>1.4084533436891993</v>
      </c>
      <c r="Y160" s="111">
        <v>810</v>
      </c>
      <c r="Z160" s="111">
        <v>280</v>
      </c>
      <c r="AA160" s="111">
        <v>310</v>
      </c>
      <c r="AB160" s="111">
        <v>122</v>
      </c>
      <c r="AC160" s="7">
        <v>43.5</v>
      </c>
      <c r="AD160" s="135">
        <f>Table1123457[[#This Row],[pho (%)]]/100*Table1123457[[#This Row],[b (mm)]]*Table1123457[[#This Row],[h (mm)]]</f>
        <v>313.90600000000001</v>
      </c>
      <c r="AE160" s="135">
        <v>0.83</v>
      </c>
      <c r="AF160" s="160">
        <v>525</v>
      </c>
      <c r="AG160" s="135">
        <f>(1/3-0.21*(MIN(Table1123457[[#This Row],[b (mm)]],AA160)/MAX(Table1123457[[#This Row],[b (mm)]],AA160))*(MIN(Table1123457[[#This Row],[b (mm)]],AA160)^4/(12*MAX(Table1123457[[#This Row],[b (mm)]],AA160)^4)))*MAX(Table1123457[[#This Row],[b (mm)]],AA160)*MIN(Table1123457[[#This Row],[b (mm)]],AA160)^3</f>
        <v>187544629.45683298</v>
      </c>
      <c r="AH160" s="135">
        <f>Table1123457[[#This Row],[b (mm)]]*AA160^3/12</f>
        <v>302875166.66666669</v>
      </c>
      <c r="AI160" s="111">
        <v>1620</v>
      </c>
      <c r="AK160" s="107"/>
    </row>
    <row r="161" spans="1:37" x14ac:dyDescent="0.25">
      <c r="A161" s="267" t="s">
        <v>165</v>
      </c>
      <c r="B161" s="267">
        <v>4</v>
      </c>
      <c r="C161" s="185">
        <v>160</v>
      </c>
      <c r="D161" s="185">
        <f>Table1123457[[#This Row],[a (mm)]]/Table1123457[[#This Row],[d (mm)]]</f>
        <v>2.8928571428571428</v>
      </c>
      <c r="E161" s="268">
        <v>55.1</v>
      </c>
      <c r="F161" s="137">
        <f>Table1123457[[#This Row],[d (mm)]]</f>
        <v>280</v>
      </c>
      <c r="G161" s="135">
        <f t="shared" si="19"/>
        <v>44631</v>
      </c>
      <c r="H161" s="135">
        <f t="shared" si="20"/>
        <v>5.5951311341801949E-6</v>
      </c>
      <c r="I161" s="135">
        <f>G161/(Table1123457[[#This Row],[b (mm)]]*Z161^2)</f>
        <v>4.6661717965874872E-3</v>
      </c>
      <c r="J161" s="135">
        <f t="shared" si="21"/>
        <v>0.96720752358336315</v>
      </c>
      <c r="K161" s="135">
        <f t="shared" si="22"/>
        <v>9.3565839509554717E-6</v>
      </c>
      <c r="L161" s="135">
        <f>E161/(Table1123457[[#This Row],[b (mm)]]*Z161)</f>
        <v>1.6129976580796254E-3</v>
      </c>
      <c r="M161" s="135">
        <f>Table1123457[[#This Row],[M (KN.mm)]]/(Table1123457[[#This Row],[b (mm)]]*Table1123457[[#This Row],[d (mm)]])</f>
        <v>1.3065281030444964</v>
      </c>
      <c r="N161" s="135">
        <f>Table1123457[[#This Row],[M (KN.mm)]]/(Table1123457[[#This Row],[b (mm)]]*Table1123457[[#This Row],[h (mm)]])</f>
        <v>1.1800898995240614</v>
      </c>
      <c r="O161" s="145">
        <f>Table1123457[[#This Row],[M (KN.mm)]]/(Table1123457[[#This Row],[b (mm)]]*Table1123457[[#This Row],[h (mm)]]*Table1123457[[#This Row],[L(mm)]])</f>
        <v>7.2845055526176631E-4</v>
      </c>
      <c r="P161" s="145">
        <f>Table1123457[[#This Row],[M (KN.mm)]]/(Table1123457[[#This Row],[b (mm)]]*Table1123457[[#This Row],[d (mm)]]*Table1123457[[#This Row],[L(mm)]])</f>
        <v>8.0649882903981261E-4</v>
      </c>
      <c r="Q161" s="145">
        <f>Table1123457[[#This Row],[M (KN.mm)]]/(Table1123457[[#This Row],[b (mm)]]*Table1123457[[#This Row],[h (mm)]]*Table1123457[[#This Row],[L(mm)]]*Table1123457[[#This Row],[fc (Mpa)]])</f>
        <v>1.6745989776132558E-5</v>
      </c>
      <c r="R161" s="145">
        <f>Table1123457[[#This Row],[M (KN.mm)]]/(Table1123457[[#This Row],[b (mm)]]*Table1123457[[#This Row],[h (mm)]]*Table1123457[[#This Row],[L(mm)]]/2)</f>
        <v>1.4569011105235326E-3</v>
      </c>
      <c r="S161" s="145">
        <f>Table1123457[[#This Row],[M (KN.mm)]]/(Table1123457[[#This Row],[a (mm)]]*Table1123457[[#This Row],[b (mm)]]*Table1123457[[#This Row],[h (mm)]]*Table1123457[[#This Row],[L(mm)]]/2)</f>
        <v>1.7986433463253489E-6</v>
      </c>
      <c r="T161" s="111">
        <f>G161/($AL$5*AH161*0.001*Table1123457[[#This Row],[pho (%)]])</f>
        <v>6.7411218484098735E-6</v>
      </c>
      <c r="U161" s="145">
        <f>Table1123457[[#This Row],[M (KN.mm)]]/(Table1123457[[#This Row],[b (mm)]]*Table1123457[[#This Row],[d (mm)]]*Table1123457[[#This Row],[pho (%)]])</f>
        <v>1.5741302446319234</v>
      </c>
      <c r="V161" s="145">
        <f>E161*224.8/(2*SQRT(Table1123457[[#This Row],[fc (Mpa)]]*145.037)*Table1123457[[#This Row],[b (mm)]]*Table1123457[[#This Row],[d (mm)]]*(1/25.4)^2)</f>
        <v>1.4725954314473413</v>
      </c>
      <c r="W161" s="145">
        <f>Table1123457[[#This Row],[M (KN.mm)]]/$G$164</f>
        <v>0.72026143790849673</v>
      </c>
      <c r="X161" s="111">
        <f t="shared" si="23"/>
        <v>1.4725954314473413</v>
      </c>
      <c r="Y161" s="111">
        <v>810</v>
      </c>
      <c r="Z161" s="111">
        <v>280</v>
      </c>
      <c r="AA161" s="111">
        <v>310</v>
      </c>
      <c r="AB161" s="111">
        <v>122</v>
      </c>
      <c r="AC161" s="7">
        <v>43.5</v>
      </c>
      <c r="AD161" s="135">
        <f>Table1123457[[#This Row],[pho (%)]]/100*Table1123457[[#This Row],[b (mm)]]*Table1123457[[#This Row],[h (mm)]]</f>
        <v>313.90600000000001</v>
      </c>
      <c r="AE161" s="135">
        <v>0.83</v>
      </c>
      <c r="AF161" s="160">
        <v>525</v>
      </c>
      <c r="AG161" s="135">
        <f>(1/3-0.21*(MIN(Table1123457[[#This Row],[b (mm)]],AA161)/MAX(Table1123457[[#This Row],[b (mm)]],AA161))*(MIN(Table1123457[[#This Row],[b (mm)]],AA161)^4/(12*MAX(Table1123457[[#This Row],[b (mm)]],AA161)^4)))*MAX(Table1123457[[#This Row],[b (mm)]],AA161)*MIN(Table1123457[[#This Row],[b (mm)]],AA161)^3</f>
        <v>187544629.45683298</v>
      </c>
      <c r="AH161" s="135">
        <f>Table1123457[[#This Row],[b (mm)]]*AA161^3/12</f>
        <v>302875166.66666669</v>
      </c>
      <c r="AI161" s="111">
        <v>1620</v>
      </c>
      <c r="AK161" s="107"/>
    </row>
    <row r="162" spans="1:37" x14ac:dyDescent="0.25">
      <c r="A162" s="267" t="s">
        <v>165</v>
      </c>
      <c r="B162" s="267">
        <v>5</v>
      </c>
      <c r="C162" s="185">
        <v>161</v>
      </c>
      <c r="D162" s="185">
        <f>Table1123457[[#This Row],[a (mm)]]/Table1123457[[#This Row],[d (mm)]]</f>
        <v>2.8928571428571428</v>
      </c>
      <c r="E162" s="268">
        <v>66.5</v>
      </c>
      <c r="F162" s="137">
        <f>Table1123457[[#This Row],[d (mm)]]</f>
        <v>280</v>
      </c>
      <c r="G162" s="135">
        <f t="shared" si="19"/>
        <v>53865</v>
      </c>
      <c r="H162" s="135">
        <f t="shared" si="20"/>
        <v>6.7527444722864421E-6</v>
      </c>
      <c r="I162" s="135">
        <f>G162/(Table1123457[[#This Row],[b (mm)]]*Z162^2)</f>
        <v>5.6315866510538645E-3</v>
      </c>
      <c r="J162" s="135">
        <f t="shared" si="21"/>
        <v>1.1673194250144037</v>
      </c>
      <c r="K162" s="135">
        <f t="shared" si="22"/>
        <v>1.1292428906325569E-5</v>
      </c>
      <c r="L162" s="135">
        <f>E162/(Table1123457[[#This Row],[b (mm)]]*Z162)</f>
        <v>1.9467213114754099E-3</v>
      </c>
      <c r="M162" s="135">
        <f>Table1123457[[#This Row],[M (KN.mm)]]/(Table1123457[[#This Row],[b (mm)]]*Table1123457[[#This Row],[d (mm)]])</f>
        <v>1.576844262295082</v>
      </c>
      <c r="N162" s="135">
        <f>Table1123457[[#This Row],[M (KN.mm)]]/(Table1123457[[#This Row],[b (mm)]]*Table1123457[[#This Row],[h (mm)]])</f>
        <v>1.4242464304600739</v>
      </c>
      <c r="O162" s="145">
        <f>Table1123457[[#This Row],[M (KN.mm)]]/(Table1123457[[#This Row],[b (mm)]]*Table1123457[[#This Row],[h (mm)]]*Table1123457[[#This Row],[L(mm)]])</f>
        <v>8.7916446324695933E-4</v>
      </c>
      <c r="P162" s="145">
        <f>Table1123457[[#This Row],[M (KN.mm)]]/(Table1123457[[#This Row],[b (mm)]]*Table1123457[[#This Row],[d (mm)]]*Table1123457[[#This Row],[L(mm)]])</f>
        <v>9.7336065573770496E-4</v>
      </c>
      <c r="Q162" s="145">
        <f>Table1123457[[#This Row],[M (KN.mm)]]/(Table1123457[[#This Row],[b (mm)]]*Table1123457[[#This Row],[h (mm)]]*Table1123457[[#This Row],[L(mm)]]*Table1123457[[#This Row],[fc (Mpa)]])</f>
        <v>2.0210677316022053E-5</v>
      </c>
      <c r="R162" s="145">
        <f>Table1123457[[#This Row],[M (KN.mm)]]/(Table1123457[[#This Row],[b (mm)]]*Table1123457[[#This Row],[h (mm)]]*Table1123457[[#This Row],[L(mm)]]/2)</f>
        <v>1.7583289264939187E-3</v>
      </c>
      <c r="S162" s="145">
        <f>Table1123457[[#This Row],[M (KN.mm)]]/(Table1123457[[#This Row],[a (mm)]]*Table1123457[[#This Row],[b (mm)]]*Table1123457[[#This Row],[h (mm)]]*Table1123457[[#This Row],[L(mm)]]/2)</f>
        <v>2.170776452461628E-6</v>
      </c>
      <c r="T162" s="111">
        <f>G162/($AL$5*AH162*0.001*Table1123457[[#This Row],[pho (%)]])</f>
        <v>8.1358367135981236E-6</v>
      </c>
      <c r="U162" s="145">
        <f>Table1123457[[#This Row],[M (KN.mm)]]/(Table1123457[[#This Row],[b (mm)]]*Table1123457[[#This Row],[d (mm)]]*Table1123457[[#This Row],[pho (%)]])</f>
        <v>1.8998123642109421</v>
      </c>
      <c r="V162" s="145">
        <f>E162*224.8/(2*SQRT(Table1123457[[#This Row],[fc (Mpa)]]*145.037)*Table1123457[[#This Row],[b (mm)]]*Table1123457[[#This Row],[d (mm)]]*(1/25.4)^2)</f>
        <v>1.777270348298515</v>
      </c>
      <c r="W162" s="145">
        <f>Table1123457[[#This Row],[M (KN.mm)]]/$G$164</f>
        <v>0.86928104575163401</v>
      </c>
      <c r="X162" s="111">
        <f t="shared" si="23"/>
        <v>1.777270348298515</v>
      </c>
      <c r="Y162" s="111">
        <v>810</v>
      </c>
      <c r="Z162" s="111">
        <v>280</v>
      </c>
      <c r="AA162" s="111">
        <v>310</v>
      </c>
      <c r="AB162" s="111">
        <v>122</v>
      </c>
      <c r="AC162" s="7">
        <v>43.5</v>
      </c>
      <c r="AD162" s="135">
        <f>Table1123457[[#This Row],[pho (%)]]/100*Table1123457[[#This Row],[b (mm)]]*Table1123457[[#This Row],[h (mm)]]</f>
        <v>313.90600000000001</v>
      </c>
      <c r="AE162" s="135">
        <v>0.83</v>
      </c>
      <c r="AF162" s="160">
        <v>525</v>
      </c>
      <c r="AG162" s="135">
        <f>(1/3-0.21*(MIN(Table1123457[[#This Row],[b (mm)]],AA162)/MAX(Table1123457[[#This Row],[b (mm)]],AA162))*(MIN(Table1123457[[#This Row],[b (mm)]],AA162)^4/(12*MAX(Table1123457[[#This Row],[b (mm)]],AA162)^4)))*MAX(Table1123457[[#This Row],[b (mm)]],AA162)*MIN(Table1123457[[#This Row],[b (mm)]],AA162)^3</f>
        <v>187544629.45683298</v>
      </c>
      <c r="AH162" s="135">
        <f>Table1123457[[#This Row],[b (mm)]]*AA162^3/12</f>
        <v>302875166.66666669</v>
      </c>
      <c r="AI162" s="111">
        <v>1620</v>
      </c>
      <c r="AK162" s="107"/>
    </row>
    <row r="163" spans="1:37" x14ac:dyDescent="0.25">
      <c r="A163" s="267" t="s">
        <v>165</v>
      </c>
      <c r="B163" s="267">
        <v>6</v>
      </c>
      <c r="C163" s="185">
        <v>162</v>
      </c>
      <c r="D163" s="185">
        <f>Table1123457[[#This Row],[a (mm)]]/Table1123457[[#This Row],[d (mm)]]</f>
        <v>2.8928571428571428</v>
      </c>
      <c r="E163" s="268">
        <v>72.599999999999994</v>
      </c>
      <c r="F163" s="137">
        <f>Table1123457[[#This Row],[d (mm)]]</f>
        <v>280</v>
      </c>
      <c r="G163" s="135">
        <f t="shared" ref="G163:G192" si="24">E163*Y163</f>
        <v>58805.999999999993</v>
      </c>
      <c r="H163" s="135">
        <f t="shared" ref="H163:H192" si="25">G163/($AL$5*AH163*0.001)</f>
        <v>7.372169153202942E-6</v>
      </c>
      <c r="I163" s="135">
        <f>G163/(Table1123457[[#This Row],[b (mm)]]*Z163^2)</f>
        <v>6.148168283706925E-3</v>
      </c>
      <c r="J163" s="135">
        <f t="shared" ref="J163:J192" si="26">G163/(AD163*AF163*Z163*0.001)</f>
        <v>1.2743968459555746</v>
      </c>
      <c r="K163" s="135">
        <f t="shared" ref="K163:K192" si="27">E163/($AL$4*AG163*0.001)</f>
        <v>1.2328275768409567E-5</v>
      </c>
      <c r="L163" s="135">
        <f>E163/(Table1123457[[#This Row],[b (mm)]]*Z163)</f>
        <v>2.125292740046838E-3</v>
      </c>
      <c r="M163" s="135">
        <f>Table1123457[[#This Row],[M (KN.mm)]]/(Table1123457[[#This Row],[b (mm)]]*Table1123457[[#This Row],[d (mm)]])</f>
        <v>1.7214871194379389</v>
      </c>
      <c r="N163" s="135">
        <f>Table1123457[[#This Row],[M (KN.mm)]]/(Table1123457[[#This Row],[b (mm)]]*Table1123457[[#This Row],[h (mm)]])</f>
        <v>1.5548915917503965</v>
      </c>
      <c r="O163" s="145">
        <f>Table1123457[[#This Row],[M (KN.mm)]]/(Table1123457[[#This Row],[b (mm)]]*Table1123457[[#This Row],[h (mm)]]*Table1123457[[#This Row],[L(mm)]])</f>
        <v>9.5980962453728175E-4</v>
      </c>
      <c r="P163" s="145">
        <f>Table1123457[[#This Row],[M (KN.mm)]]/(Table1123457[[#This Row],[b (mm)]]*Table1123457[[#This Row],[d (mm)]]*Table1123457[[#This Row],[L(mm)]])</f>
        <v>1.062646370023419E-3</v>
      </c>
      <c r="Q163" s="145">
        <f>Table1123457[[#This Row],[M (KN.mm)]]/(Table1123457[[#This Row],[b (mm)]]*Table1123457[[#This Row],[h (mm)]]*Table1123457[[#This Row],[L(mm)]]*Table1123457[[#This Row],[fc (Mpa)]])</f>
        <v>2.2064589069822568E-5</v>
      </c>
      <c r="R163" s="145">
        <f>Table1123457[[#This Row],[M (KN.mm)]]/(Table1123457[[#This Row],[b (mm)]]*Table1123457[[#This Row],[h (mm)]]*Table1123457[[#This Row],[L(mm)]]/2)</f>
        <v>1.9196192490745635E-3</v>
      </c>
      <c r="S163" s="145">
        <f>Table1123457[[#This Row],[M (KN.mm)]]/(Table1123457[[#This Row],[a (mm)]]*Table1123457[[#This Row],[b (mm)]]*Table1123457[[#This Row],[h (mm)]]*Table1123457[[#This Row],[L(mm)]]/2)</f>
        <v>2.3699003074994609E-6</v>
      </c>
      <c r="T163" s="111">
        <f>G163/($AL$5*AH163*0.001*Table1123457[[#This Row],[pho (%)]])</f>
        <v>8.8821315098830622E-6</v>
      </c>
      <c r="U163" s="145">
        <f>Table1123457[[#This Row],[M (KN.mm)]]/(Table1123457[[#This Row],[b (mm)]]*Table1123457[[#This Row],[d (mm)]]*Table1123457[[#This Row],[pho (%)]])</f>
        <v>2.0740808667926975</v>
      </c>
      <c r="V163" s="145">
        <f>E163*224.8/(2*SQRT(Table1123457[[#This Row],[fc (Mpa)]]*145.037)*Table1123457[[#This Row],[b (mm)]]*Table1123457[[#This Row],[d (mm)]]*(1/25.4)^2)</f>
        <v>1.9402981546837923</v>
      </c>
      <c r="W163" s="145">
        <f>Table1123457[[#This Row],[M (KN.mm)]]/$G$164</f>
        <v>0.9490196078431371</v>
      </c>
      <c r="X163" s="111">
        <f t="shared" si="23"/>
        <v>1.9402981546837923</v>
      </c>
      <c r="Y163" s="111">
        <v>810</v>
      </c>
      <c r="Z163" s="111">
        <v>280</v>
      </c>
      <c r="AA163" s="111">
        <v>310</v>
      </c>
      <c r="AB163" s="111">
        <v>122</v>
      </c>
      <c r="AC163" s="7">
        <v>43.5</v>
      </c>
      <c r="AD163" s="135">
        <f>Table1123457[[#This Row],[pho (%)]]/100*Table1123457[[#This Row],[b (mm)]]*Table1123457[[#This Row],[h (mm)]]</f>
        <v>313.90600000000001</v>
      </c>
      <c r="AE163" s="135">
        <v>0.83</v>
      </c>
      <c r="AF163" s="160">
        <v>525</v>
      </c>
      <c r="AG163" s="135">
        <f>(1/3-0.21*(MIN(Table1123457[[#This Row],[b (mm)]],AA163)/MAX(Table1123457[[#This Row],[b (mm)]],AA163))*(MIN(Table1123457[[#This Row],[b (mm)]],AA163)^4/(12*MAX(Table1123457[[#This Row],[b (mm)]],AA163)^4)))*MAX(Table1123457[[#This Row],[b (mm)]],AA163)*MIN(Table1123457[[#This Row],[b (mm)]],AA163)^3</f>
        <v>187544629.45683298</v>
      </c>
      <c r="AH163" s="135">
        <f>Table1123457[[#This Row],[b (mm)]]*AA163^3/12</f>
        <v>302875166.66666669</v>
      </c>
      <c r="AI163" s="111">
        <v>1620</v>
      </c>
      <c r="AK163" s="107"/>
    </row>
    <row r="164" spans="1:37" x14ac:dyDescent="0.25">
      <c r="A164" s="267" t="s">
        <v>165</v>
      </c>
      <c r="B164" s="267" t="s">
        <v>141</v>
      </c>
      <c r="C164" s="185">
        <v>163</v>
      </c>
      <c r="D164" s="185">
        <f>Table1123457[[#This Row],[a (mm)]]/Table1123457[[#This Row],[d (mm)]]</f>
        <v>2.8928571428571428</v>
      </c>
      <c r="E164" s="268">
        <v>76.5</v>
      </c>
      <c r="F164" s="137">
        <f>Table1123457[[#This Row],[d (mm)]]</f>
        <v>280</v>
      </c>
      <c r="G164" s="135">
        <f t="shared" si="24"/>
        <v>61965</v>
      </c>
      <c r="H164" s="135">
        <f t="shared" si="25"/>
        <v>7.7681947688708694E-6</v>
      </c>
      <c r="I164" s="135">
        <f>G164/(Table1123457[[#This Row],[b (mm)]]*Z164^2)</f>
        <v>6.4784417865506863E-3</v>
      </c>
      <c r="J164" s="135">
        <f t="shared" si="26"/>
        <v>1.3428561806556674</v>
      </c>
      <c r="K164" s="135">
        <f t="shared" si="27"/>
        <v>1.2990538516299339E-5</v>
      </c>
      <c r="L164" s="135">
        <f>E164/(Table1123457[[#This Row],[b (mm)]]*Z164)</f>
        <v>2.2394613583138173E-3</v>
      </c>
      <c r="M164" s="135">
        <f>Table1123457[[#This Row],[M (KN.mm)]]/(Table1123457[[#This Row],[b (mm)]]*Table1123457[[#This Row],[d (mm)]])</f>
        <v>1.813963700234192</v>
      </c>
      <c r="N164" s="135">
        <f>Table1123457[[#This Row],[M (KN.mm)]]/(Table1123457[[#This Row],[b (mm)]]*Table1123457[[#This Row],[h (mm)]])</f>
        <v>1.6384188260179799</v>
      </c>
      <c r="O164" s="145">
        <f>Table1123457[[#This Row],[M (KN.mm)]]/(Table1123457[[#This Row],[b (mm)]]*Table1123457[[#This Row],[h (mm)]]*Table1123457[[#This Row],[L(mm)]])</f>
        <v>1.011369645690111E-3</v>
      </c>
      <c r="P164" s="145">
        <f>Table1123457[[#This Row],[M (KN.mm)]]/(Table1123457[[#This Row],[b (mm)]]*Table1123457[[#This Row],[d (mm)]]*Table1123457[[#This Row],[L(mm)]])</f>
        <v>1.1197306791569087E-3</v>
      </c>
      <c r="Q164" s="145">
        <f>Table1123457[[#This Row],[M (KN.mm)]]/(Table1123457[[#This Row],[b (mm)]]*Table1123457[[#This Row],[h (mm)]]*Table1123457[[#This Row],[L(mm)]]*Table1123457[[#This Row],[fc (Mpa)]])</f>
        <v>2.3249876912416346E-5</v>
      </c>
      <c r="R164" s="145">
        <f>Table1123457[[#This Row],[M (KN.mm)]]/(Table1123457[[#This Row],[b (mm)]]*Table1123457[[#This Row],[h (mm)]]*Table1123457[[#This Row],[L(mm)]]/2)</f>
        <v>2.022739291380222E-3</v>
      </c>
      <c r="S164" s="145">
        <f>Table1123457[[#This Row],[M (KN.mm)]]/(Table1123457[[#This Row],[a (mm)]]*Table1123457[[#This Row],[b (mm)]]*Table1123457[[#This Row],[h (mm)]]*Table1123457[[#This Row],[L(mm)]]/2)</f>
        <v>2.4972090017039779E-6</v>
      </c>
      <c r="T164" s="111">
        <f>G164/($AL$5*AH164*0.001*Table1123457[[#This Row],[pho (%)]])</f>
        <v>9.3592708058685181E-6</v>
      </c>
      <c r="U164" s="145">
        <f>Table1123457[[#This Row],[M (KN.mm)]]/(Table1123457[[#This Row],[b (mm)]]*Table1123457[[#This Row],[d (mm)]]*Table1123457[[#This Row],[pho (%)]])</f>
        <v>2.1854984340170991</v>
      </c>
      <c r="V164" s="145">
        <f>E164*224.8/(2*SQRT(Table1123457[[#This Row],[fc (Mpa)]]*145.037)*Table1123457[[#This Row],[b (mm)]]*Table1123457[[#This Row],[d (mm)]]*(1/25.4)^2)</f>
        <v>2.0445290472907729</v>
      </c>
      <c r="W164" s="145">
        <f>Table1123457[[#This Row],[M (KN.mm)]]/$G$164</f>
        <v>1</v>
      </c>
      <c r="X164" s="111">
        <f t="shared" si="23"/>
        <v>2.0445290472907729</v>
      </c>
      <c r="Y164" s="111">
        <v>810</v>
      </c>
      <c r="Z164" s="111">
        <v>280</v>
      </c>
      <c r="AA164" s="111">
        <v>310</v>
      </c>
      <c r="AB164" s="111">
        <v>122</v>
      </c>
      <c r="AC164" s="7">
        <v>43.5</v>
      </c>
      <c r="AD164" s="135">
        <f>Table1123457[[#This Row],[pho (%)]]/100*Table1123457[[#This Row],[b (mm)]]*Table1123457[[#This Row],[h (mm)]]</f>
        <v>313.90600000000001</v>
      </c>
      <c r="AE164" s="135">
        <v>0.83</v>
      </c>
      <c r="AF164" s="160">
        <v>525</v>
      </c>
      <c r="AG164" s="135">
        <f>(1/3-0.21*(MIN(Table1123457[[#This Row],[b (mm)]],AA164)/MAX(Table1123457[[#This Row],[b (mm)]],AA164))*(MIN(Table1123457[[#This Row],[b (mm)]],AA164)^4/(12*MAX(Table1123457[[#This Row],[b (mm)]],AA164)^4)))*MAX(Table1123457[[#This Row],[b (mm)]],AA164)*MIN(Table1123457[[#This Row],[b (mm)]],AA164)^3</f>
        <v>187544629.45683298</v>
      </c>
      <c r="AH164" s="135">
        <f>Table1123457[[#This Row],[b (mm)]]*AA164^3/12</f>
        <v>302875166.66666669</v>
      </c>
      <c r="AI164" s="111">
        <v>1620</v>
      </c>
      <c r="AK164" s="107"/>
    </row>
    <row r="165" spans="1:37" x14ac:dyDescent="0.25">
      <c r="A165" s="269" t="s">
        <v>166</v>
      </c>
      <c r="B165" s="269">
        <v>1</v>
      </c>
      <c r="C165" s="185">
        <v>164</v>
      </c>
      <c r="D165" s="185">
        <f>Table1123457[[#This Row],[a (mm)]]/Table1123457[[#This Row],[d (mm)]]</f>
        <v>2.8928571428571428</v>
      </c>
      <c r="E165" s="270">
        <v>25.2</v>
      </c>
      <c r="F165" s="137">
        <f>Table1123457[[#This Row],[d (mm)]]</f>
        <v>280</v>
      </c>
      <c r="G165" s="135">
        <f t="shared" si="24"/>
        <v>20412</v>
      </c>
      <c r="H165" s="135">
        <f t="shared" si="25"/>
        <v>2.558934747392757E-6</v>
      </c>
      <c r="I165" s="135">
        <f>G165/(Table1123457[[#This Row],[b (mm)]]*Z165^2)</f>
        <v>2.1340749414519907E-3</v>
      </c>
      <c r="J165" s="135">
        <f t="shared" si="26"/>
        <v>0.44235262421598459</v>
      </c>
      <c r="K165" s="135">
        <f t="shared" si="27"/>
        <v>4.2792362171338998E-6</v>
      </c>
      <c r="L165" s="135">
        <f>E165/(Table1123457[[#This Row],[b (mm)]]*Z165)</f>
        <v>7.3770491803278688E-4</v>
      </c>
      <c r="M165" s="135">
        <f>Table1123457[[#This Row],[M (KN.mm)]]/(Table1123457[[#This Row],[b (mm)]]*Table1123457[[#This Row],[d (mm)]])</f>
        <v>0.59754098360655739</v>
      </c>
      <c r="N165" s="135">
        <f>Table1123457[[#This Row],[M (KN.mm)]]/(Table1123457[[#This Row],[b (mm)]]*Table1123457[[#This Row],[h (mm)]])</f>
        <v>0.53971443680592279</v>
      </c>
      <c r="O165" s="145">
        <f>Table1123457[[#This Row],[M (KN.mm)]]/(Table1123457[[#This Row],[b (mm)]]*Table1123457[[#This Row],[h (mm)]]*Table1123457[[#This Row],[L(mm)]])</f>
        <v>3.3315705975674246E-4</v>
      </c>
      <c r="P165" s="145">
        <f>Table1123457[[#This Row],[M (KN.mm)]]/(Table1123457[[#This Row],[b (mm)]]*Table1123457[[#This Row],[d (mm)]]*Table1123457[[#This Row],[L(mm)]])</f>
        <v>3.6885245901639344E-4</v>
      </c>
      <c r="Q165" s="145">
        <f>Table1123457[[#This Row],[M (KN.mm)]]/(Table1123457[[#This Row],[b (mm)]]*Table1123457[[#This Row],[h (mm)]]*Table1123457[[#This Row],[L(mm)]]*Table1123457[[#This Row],[fc (Mpa)]])</f>
        <v>7.6587829829136196E-6</v>
      </c>
      <c r="R165" s="145">
        <f>Table1123457[[#This Row],[M (KN.mm)]]/(Table1123457[[#This Row],[b (mm)]]*Table1123457[[#This Row],[h (mm)]]*Table1123457[[#This Row],[L(mm)]]/2)</f>
        <v>6.6631411951348493E-4</v>
      </c>
      <c r="S165" s="145">
        <f>Table1123457[[#This Row],[M (KN.mm)]]/(Table1123457[[#This Row],[a (mm)]]*Table1123457[[#This Row],[b (mm)]]*Table1123457[[#This Row],[h (mm)]]*Table1123457[[#This Row],[L(mm)]]/2)</f>
        <v>8.2261002409072211E-7</v>
      </c>
      <c r="T165" s="111">
        <f>G165/($AL$5*AH165*0.001*Table1123457[[#This Row],[pho (%)]])</f>
        <v>3.083053912521394E-6</v>
      </c>
      <c r="U165" s="145">
        <f>Table1123457[[#This Row],[M (KN.mm)]]/(Table1123457[[#This Row],[b (mm)]]*Table1123457[[#This Row],[d (mm)]]*Table1123457[[#This Row],[pho (%)]])</f>
        <v>0.71992889591151488</v>
      </c>
      <c r="V165" s="145">
        <f>E165*224.8/(2*SQRT(Table1123457[[#This Row],[fc (Mpa)]]*145.037)*Table1123457[[#This Row],[b (mm)]]*Table1123457[[#This Row],[d (mm)]]*(1/25.4)^2)</f>
        <v>0.67349192146048997</v>
      </c>
      <c r="W165" s="145">
        <f>Table1123457[[#This Row],[M (KN.mm)]]/$G$171</f>
        <v>0.31265508684863524</v>
      </c>
      <c r="X165" s="111">
        <f t="shared" si="23"/>
        <v>0.67349192146048997</v>
      </c>
      <c r="Y165" s="111">
        <v>810</v>
      </c>
      <c r="Z165" s="111">
        <v>280</v>
      </c>
      <c r="AA165" s="111">
        <v>310</v>
      </c>
      <c r="AB165" s="111">
        <v>122</v>
      </c>
      <c r="AC165" s="7">
        <v>43.5</v>
      </c>
      <c r="AD165" s="135">
        <f>Table1123457[[#This Row],[pho (%)]]/100*Table1123457[[#This Row],[b (mm)]]*Table1123457[[#This Row],[h (mm)]]</f>
        <v>313.90600000000001</v>
      </c>
      <c r="AE165" s="135">
        <v>0.83</v>
      </c>
      <c r="AF165" s="160">
        <v>525</v>
      </c>
      <c r="AG165" s="135">
        <f>(1/3-0.21*(MIN(Table1123457[[#This Row],[b (mm)]],AA165)/MAX(Table1123457[[#This Row],[b (mm)]],AA165))*(MIN(Table1123457[[#This Row],[b (mm)]],AA165)^4/(12*MAX(Table1123457[[#This Row],[b (mm)]],AA165)^4)))*MAX(Table1123457[[#This Row],[b (mm)]],AA165)*MIN(Table1123457[[#This Row],[b (mm)]],AA165)^3</f>
        <v>187544629.45683298</v>
      </c>
      <c r="AH165" s="135">
        <f>Table1123457[[#This Row],[b (mm)]]*AA165^3/12</f>
        <v>302875166.66666669</v>
      </c>
      <c r="AI165" s="111">
        <v>1620</v>
      </c>
      <c r="AK165" s="107"/>
    </row>
    <row r="166" spans="1:37" x14ac:dyDescent="0.25">
      <c r="A166" s="269" t="s">
        <v>166</v>
      </c>
      <c r="B166" s="269">
        <v>2</v>
      </c>
      <c r="C166" s="185">
        <v>165</v>
      </c>
      <c r="D166" s="185">
        <f>Table1123457[[#This Row],[a (mm)]]/Table1123457[[#This Row],[d (mm)]]</f>
        <v>2.8928571428571428</v>
      </c>
      <c r="E166" s="270">
        <v>35.200000000000003</v>
      </c>
      <c r="F166" s="137">
        <f>Table1123457[[#This Row],[d (mm)]]</f>
        <v>280</v>
      </c>
      <c r="G166" s="135">
        <f t="shared" si="24"/>
        <v>28512.000000000004</v>
      </c>
      <c r="H166" s="135">
        <f t="shared" si="25"/>
        <v>3.5743850439771852E-6</v>
      </c>
      <c r="I166" s="135">
        <f>G166/(Table1123457[[#This Row],[b (mm)]]*Z166^2)</f>
        <v>2.9809300769488129E-3</v>
      </c>
      <c r="J166" s="135">
        <f t="shared" si="26"/>
        <v>0.61788937985724834</v>
      </c>
      <c r="K166" s="135">
        <f t="shared" si="27"/>
        <v>5.9773458271076704E-6</v>
      </c>
      <c r="L166" s="135">
        <f>E166/(Table1123457[[#This Row],[b (mm)]]*Z166)</f>
        <v>1.0304449648711944E-3</v>
      </c>
      <c r="M166" s="135">
        <f>Table1123457[[#This Row],[M (KN.mm)]]/(Table1123457[[#This Row],[b (mm)]]*Table1123457[[#This Row],[d (mm)]])</f>
        <v>0.83466042154566755</v>
      </c>
      <c r="N166" s="135">
        <f>Table1123457[[#This Row],[M (KN.mm)]]/(Table1123457[[#This Row],[b (mm)]]*Table1123457[[#This Row],[h (mm)]])</f>
        <v>0.75388683236382881</v>
      </c>
      <c r="O166" s="145">
        <f>Table1123457[[#This Row],[M (KN.mm)]]/(Table1123457[[#This Row],[b (mm)]]*Table1123457[[#This Row],[h (mm)]]*Table1123457[[#This Row],[L(mm)]])</f>
        <v>4.6536224219989429E-4</v>
      </c>
      <c r="P166" s="145">
        <f>Table1123457[[#This Row],[M (KN.mm)]]/(Table1123457[[#This Row],[b (mm)]]*Table1123457[[#This Row],[d (mm)]]*Table1123457[[#This Row],[L(mm)]])</f>
        <v>5.152224824355973E-4</v>
      </c>
      <c r="Q166" s="145">
        <f>Table1123457[[#This Row],[M (KN.mm)]]/(Table1123457[[#This Row],[b (mm)]]*Table1123457[[#This Row],[h (mm)]]*Table1123457[[#This Row],[L(mm)]]*Table1123457[[#This Row],[fc (Mpa)]])</f>
        <v>1.0697982579307915E-5</v>
      </c>
      <c r="R166" s="145">
        <f>Table1123457[[#This Row],[M (KN.mm)]]/(Table1123457[[#This Row],[b (mm)]]*Table1123457[[#This Row],[h (mm)]]*Table1123457[[#This Row],[L(mm)]]/2)</f>
        <v>9.3072448439978858E-4</v>
      </c>
      <c r="S166" s="145">
        <f>Table1123457[[#This Row],[M (KN.mm)]]/(Table1123457[[#This Row],[a (mm)]]*Table1123457[[#This Row],[b (mm)]]*Table1123457[[#This Row],[h (mm)]]*Table1123457[[#This Row],[L(mm)]]/2)</f>
        <v>1.1490425733330723E-6</v>
      </c>
      <c r="T166" s="111">
        <f>G166/($AL$5*AH166*0.001*Table1123457[[#This Row],[pho (%)]])</f>
        <v>4.3064880047917889E-6</v>
      </c>
      <c r="U166" s="145">
        <f>Table1123457[[#This Row],[M (KN.mm)]]/(Table1123457[[#This Row],[b (mm)]]*Table1123457[[#This Row],[d (mm)]]*Table1123457[[#This Row],[pho (%)]])</f>
        <v>1.0056149657176718</v>
      </c>
      <c r="V166" s="145">
        <f>E166*224.8/(2*SQRT(Table1123457[[#This Row],[fc (Mpa)]]*145.037)*Table1123457[[#This Row],[b (mm)]]*Table1123457[[#This Row],[d (mm)]]*(1/25.4)^2)</f>
        <v>0.94075062045274793</v>
      </c>
      <c r="W166" s="145">
        <f>Table1123457[[#This Row],[M (KN.mm)]]/$G$171</f>
        <v>0.43672456575682395</v>
      </c>
      <c r="X166" s="111">
        <f t="shared" si="23"/>
        <v>0.94075062045274793</v>
      </c>
      <c r="Y166" s="111">
        <v>810</v>
      </c>
      <c r="Z166" s="111">
        <v>280</v>
      </c>
      <c r="AA166" s="111">
        <v>310</v>
      </c>
      <c r="AB166" s="111">
        <v>122</v>
      </c>
      <c r="AC166" s="7">
        <v>43.5</v>
      </c>
      <c r="AD166" s="135">
        <f>Table1123457[[#This Row],[pho (%)]]/100*Table1123457[[#This Row],[b (mm)]]*Table1123457[[#This Row],[h (mm)]]</f>
        <v>313.90600000000001</v>
      </c>
      <c r="AE166" s="135">
        <v>0.83</v>
      </c>
      <c r="AF166" s="160">
        <v>525</v>
      </c>
      <c r="AG166" s="135">
        <f>(1/3-0.21*(MIN(Table1123457[[#This Row],[b (mm)]],AA166)/MAX(Table1123457[[#This Row],[b (mm)]],AA166))*(MIN(Table1123457[[#This Row],[b (mm)]],AA166)^4/(12*MAX(Table1123457[[#This Row],[b (mm)]],AA166)^4)))*MAX(Table1123457[[#This Row],[b (mm)]],AA166)*MIN(Table1123457[[#This Row],[b (mm)]],AA166)^3</f>
        <v>187544629.45683298</v>
      </c>
      <c r="AH166" s="135">
        <f>Table1123457[[#This Row],[b (mm)]]*AA166^3/12</f>
        <v>302875166.66666669</v>
      </c>
      <c r="AI166" s="111">
        <v>1620</v>
      </c>
      <c r="AK166" s="107"/>
    </row>
    <row r="167" spans="1:37" x14ac:dyDescent="0.25">
      <c r="A167" s="269" t="s">
        <v>166</v>
      </c>
      <c r="B167" s="269">
        <v>3</v>
      </c>
      <c r="C167" s="185">
        <v>166</v>
      </c>
      <c r="D167" s="185">
        <f>Table1123457[[#This Row],[a (mm)]]/Table1123457[[#This Row],[d (mm)]]</f>
        <v>2.8928571428571428</v>
      </c>
      <c r="E167" s="270">
        <v>45.3</v>
      </c>
      <c r="F167" s="137">
        <f>Table1123457[[#This Row],[d (mm)]]</f>
        <v>280</v>
      </c>
      <c r="G167" s="135">
        <f t="shared" si="24"/>
        <v>36693</v>
      </c>
      <c r="H167" s="135">
        <f t="shared" si="25"/>
        <v>4.5999898435274564E-6</v>
      </c>
      <c r="I167" s="135">
        <f>G167/(Table1123457[[#This Row],[b (mm)]]*Z167^2)</f>
        <v>3.8362537638006022E-3</v>
      </c>
      <c r="J167" s="135">
        <f t="shared" si="26"/>
        <v>0.79518150305492463</v>
      </c>
      <c r="K167" s="135">
        <f t="shared" si="27"/>
        <v>7.6924365331811766E-6</v>
      </c>
      <c r="L167" s="135">
        <f>E167/(Table1123457[[#This Row],[b (mm)]]*Z167)</f>
        <v>1.3261124121779859E-3</v>
      </c>
      <c r="M167" s="135">
        <f>Table1123457[[#This Row],[M (KN.mm)]]/(Table1123457[[#This Row],[b (mm)]]*Table1123457[[#This Row],[d (mm)]])</f>
        <v>1.0741510538641685</v>
      </c>
      <c r="N167" s="135">
        <f>Table1123457[[#This Row],[M (KN.mm)]]/(Table1123457[[#This Row],[b (mm)]]*Table1123457[[#This Row],[h (mm)]])</f>
        <v>0.97020095187731359</v>
      </c>
      <c r="O167" s="145">
        <f>Table1123457[[#This Row],[M (KN.mm)]]/(Table1123457[[#This Row],[b (mm)]]*Table1123457[[#This Row],[h (mm)]]*Table1123457[[#This Row],[L(mm)]])</f>
        <v>5.9888947646747758E-4</v>
      </c>
      <c r="P167" s="145">
        <f>Table1123457[[#This Row],[M (KN.mm)]]/(Table1123457[[#This Row],[b (mm)]]*Table1123457[[#This Row],[d (mm)]]*Table1123457[[#This Row],[L(mm)]])</f>
        <v>6.6305620608899296E-4</v>
      </c>
      <c r="Q167" s="145">
        <f>Table1123457[[#This Row],[M (KN.mm)]]/(Table1123457[[#This Row],[b (mm)]]*Table1123457[[#This Row],[h (mm)]]*Table1123457[[#This Row],[L(mm)]]*Table1123457[[#This Row],[fc (Mpa)]])</f>
        <v>1.376757417166615E-5</v>
      </c>
      <c r="R167" s="145">
        <f>Table1123457[[#This Row],[M (KN.mm)]]/(Table1123457[[#This Row],[b (mm)]]*Table1123457[[#This Row],[h (mm)]]*Table1123457[[#This Row],[L(mm)]]/2)</f>
        <v>1.1977789529349552E-3</v>
      </c>
      <c r="S167" s="145">
        <f>Table1123457[[#This Row],[M (KN.mm)]]/(Table1123457[[#This Row],[a (mm)]]*Table1123457[[#This Row],[b (mm)]]*Table1123457[[#This Row],[h (mm)]]*Table1123457[[#This Row],[L(mm)]]/2)</f>
        <v>1.4787394480678457E-6</v>
      </c>
      <c r="T167" s="111">
        <f>G167/($AL$5*AH167*0.001*Table1123457[[#This Row],[pho (%)]])</f>
        <v>5.542156437984887E-6</v>
      </c>
      <c r="U167" s="145">
        <f>Table1123457[[#This Row],[M (KN.mm)]]/(Table1123457[[#This Row],[b (mm)]]*Table1123457[[#This Row],[d (mm)]]*Table1123457[[#This Row],[pho (%)]])</f>
        <v>1.29415789622189</v>
      </c>
      <c r="V167" s="145">
        <f>E167*224.8/(2*SQRT(Table1123457[[#This Row],[fc (Mpa)]]*145.037)*Table1123457[[#This Row],[b (mm)]]*Table1123457[[#This Row],[d (mm)]]*(1/25.4)^2)</f>
        <v>1.2106819064349283</v>
      </c>
      <c r="W167" s="145">
        <f>Table1123457[[#This Row],[M (KN.mm)]]/$G$171</f>
        <v>0.56203473945409432</v>
      </c>
      <c r="X167" s="111">
        <f t="shared" si="23"/>
        <v>1.2106819064349283</v>
      </c>
      <c r="Y167" s="111">
        <v>810</v>
      </c>
      <c r="Z167" s="111">
        <v>280</v>
      </c>
      <c r="AA167" s="111">
        <v>310</v>
      </c>
      <c r="AB167" s="111">
        <v>122</v>
      </c>
      <c r="AC167" s="7">
        <v>43.5</v>
      </c>
      <c r="AD167" s="135">
        <f>Table1123457[[#This Row],[pho (%)]]/100*Table1123457[[#This Row],[b (mm)]]*Table1123457[[#This Row],[h (mm)]]</f>
        <v>313.90600000000001</v>
      </c>
      <c r="AE167" s="135">
        <v>0.83</v>
      </c>
      <c r="AF167" s="160">
        <v>525</v>
      </c>
      <c r="AG167" s="135">
        <f>(1/3-0.21*(MIN(Table1123457[[#This Row],[b (mm)]],AA167)/MAX(Table1123457[[#This Row],[b (mm)]],AA167))*(MIN(Table1123457[[#This Row],[b (mm)]],AA167)^4/(12*MAX(Table1123457[[#This Row],[b (mm)]],AA167)^4)))*MAX(Table1123457[[#This Row],[b (mm)]],AA167)*MIN(Table1123457[[#This Row],[b (mm)]],AA167)^3</f>
        <v>187544629.45683298</v>
      </c>
      <c r="AH167" s="135">
        <f>Table1123457[[#This Row],[b (mm)]]*AA167^3/12</f>
        <v>302875166.66666669</v>
      </c>
      <c r="AI167" s="111">
        <v>1620</v>
      </c>
      <c r="AK167" s="107"/>
    </row>
    <row r="168" spans="1:37" x14ac:dyDescent="0.25">
      <c r="A168" s="269" t="s">
        <v>166</v>
      </c>
      <c r="B168" s="269">
        <v>4</v>
      </c>
      <c r="C168" s="185">
        <v>167</v>
      </c>
      <c r="D168" s="185">
        <f>Table1123457[[#This Row],[a (mm)]]/Table1123457[[#This Row],[d (mm)]]</f>
        <v>2.8928571428571428</v>
      </c>
      <c r="E168" s="270">
        <v>55.3</v>
      </c>
      <c r="F168" s="137">
        <f>Table1123457[[#This Row],[d (mm)]]</f>
        <v>280</v>
      </c>
      <c r="G168" s="135">
        <f t="shared" si="24"/>
        <v>44793</v>
      </c>
      <c r="H168" s="135">
        <f t="shared" si="25"/>
        <v>5.6154401401118837E-6</v>
      </c>
      <c r="I168" s="135">
        <f>G168/(Table1123457[[#This Row],[b (mm)]]*Z168^2)</f>
        <v>4.6831088992974239E-3</v>
      </c>
      <c r="J168" s="135">
        <f t="shared" si="26"/>
        <v>0.97071825869618833</v>
      </c>
      <c r="K168" s="135">
        <f t="shared" si="27"/>
        <v>9.3905461431549464E-6</v>
      </c>
      <c r="L168" s="135">
        <f>E168/(Table1123457[[#This Row],[b (mm)]]*Z168)</f>
        <v>1.6188524590163933E-3</v>
      </c>
      <c r="M168" s="135">
        <f>Table1123457[[#This Row],[M (KN.mm)]]/(Table1123457[[#This Row],[b (mm)]]*Table1123457[[#This Row],[d (mm)]])</f>
        <v>1.3112704918032787</v>
      </c>
      <c r="N168" s="135">
        <f>Table1123457[[#This Row],[M (KN.mm)]]/(Table1123457[[#This Row],[b (mm)]]*Table1123457[[#This Row],[h (mm)]])</f>
        <v>1.1843733474352194</v>
      </c>
      <c r="O168" s="145">
        <f>Table1123457[[#This Row],[M (KN.mm)]]/(Table1123457[[#This Row],[b (mm)]]*Table1123457[[#This Row],[h (mm)]]*Table1123457[[#This Row],[L(mm)]])</f>
        <v>7.3109465891062935E-4</v>
      </c>
      <c r="P168" s="145">
        <f>Table1123457[[#This Row],[M (KN.mm)]]/(Table1123457[[#This Row],[b (mm)]]*Table1123457[[#This Row],[d (mm)]]*Table1123457[[#This Row],[L(mm)]])</f>
        <v>8.0942622950819676E-4</v>
      </c>
      <c r="Q168" s="145">
        <f>Table1123457[[#This Row],[M (KN.mm)]]/(Table1123457[[#This Row],[b (mm)]]*Table1123457[[#This Row],[h (mm)]]*Table1123457[[#This Row],[L(mm)]]*Table1123457[[#This Row],[fc (Mpa)]])</f>
        <v>1.6806773768060443E-5</v>
      </c>
      <c r="R168" s="145">
        <f>Table1123457[[#This Row],[M (KN.mm)]]/(Table1123457[[#This Row],[b (mm)]]*Table1123457[[#This Row],[h (mm)]]*Table1123457[[#This Row],[L(mm)]]/2)</f>
        <v>1.4621893178212587E-3</v>
      </c>
      <c r="S168" s="145">
        <f>Table1123457[[#This Row],[M (KN.mm)]]/(Table1123457[[#This Row],[a (mm)]]*Table1123457[[#This Row],[b (mm)]]*Table1123457[[#This Row],[h (mm)]]*Table1123457[[#This Row],[L(mm)]]/2)</f>
        <v>1.8051719973101958E-6</v>
      </c>
      <c r="T168" s="111">
        <f>G168/($AL$5*AH168*0.001*Table1123457[[#This Row],[pho (%)]])</f>
        <v>6.7655905302552816E-6</v>
      </c>
      <c r="U168" s="145">
        <f>Table1123457[[#This Row],[M (KN.mm)]]/(Table1123457[[#This Row],[b (mm)]]*Table1123457[[#This Row],[d (mm)]]*Table1123457[[#This Row],[pho (%)]])</f>
        <v>1.5798439660280466</v>
      </c>
      <c r="V168" s="145">
        <f>E168*224.8/(2*SQRT(Table1123457[[#This Row],[fc (Mpa)]]*145.037)*Table1123457[[#This Row],[b (mm)]]*Table1123457[[#This Row],[d (mm)]]*(1/25.4)^2)</f>
        <v>1.4779406054271862</v>
      </c>
      <c r="W168" s="145">
        <f>Table1123457[[#This Row],[M (KN.mm)]]/$G$171</f>
        <v>0.68610421836228297</v>
      </c>
      <c r="X168" s="111">
        <f t="shared" si="23"/>
        <v>1.4779406054271862</v>
      </c>
      <c r="Y168" s="111">
        <v>810</v>
      </c>
      <c r="Z168" s="111">
        <v>280</v>
      </c>
      <c r="AA168" s="111">
        <v>310</v>
      </c>
      <c r="AB168" s="111">
        <v>122</v>
      </c>
      <c r="AC168" s="7">
        <v>43.5</v>
      </c>
      <c r="AD168" s="135">
        <f>Table1123457[[#This Row],[pho (%)]]/100*Table1123457[[#This Row],[b (mm)]]*Table1123457[[#This Row],[h (mm)]]</f>
        <v>313.90600000000001</v>
      </c>
      <c r="AE168" s="135">
        <v>0.83</v>
      </c>
      <c r="AF168" s="160">
        <v>525</v>
      </c>
      <c r="AG168" s="135">
        <f>(1/3-0.21*(MIN(Table1123457[[#This Row],[b (mm)]],AA168)/MAX(Table1123457[[#This Row],[b (mm)]],AA168))*(MIN(Table1123457[[#This Row],[b (mm)]],AA168)^4/(12*MAX(Table1123457[[#This Row],[b (mm)]],AA168)^4)))*MAX(Table1123457[[#This Row],[b (mm)]],AA168)*MIN(Table1123457[[#This Row],[b (mm)]],AA168)^3</f>
        <v>187544629.45683298</v>
      </c>
      <c r="AH168" s="135">
        <f>Table1123457[[#This Row],[b (mm)]]*AA168^3/12</f>
        <v>302875166.66666669</v>
      </c>
      <c r="AI168" s="111">
        <v>1620</v>
      </c>
      <c r="AK168" s="107"/>
    </row>
    <row r="169" spans="1:37" x14ac:dyDescent="0.25">
      <c r="A169" s="269" t="s">
        <v>166</v>
      </c>
      <c r="B169" s="269">
        <v>5</v>
      </c>
      <c r="C169" s="185">
        <v>168</v>
      </c>
      <c r="D169" s="185">
        <f>Table1123457[[#This Row],[a (mm)]]/Table1123457[[#This Row],[d (mm)]]</f>
        <v>2.8928571428571428</v>
      </c>
      <c r="E169" s="270">
        <v>65.400000000000006</v>
      </c>
      <c r="F169" s="137">
        <f>Table1123457[[#This Row],[d (mm)]]</f>
        <v>280</v>
      </c>
      <c r="G169" s="135">
        <f t="shared" si="24"/>
        <v>52974.000000000007</v>
      </c>
      <c r="H169" s="135">
        <f t="shared" si="25"/>
        <v>6.6410449396621562E-6</v>
      </c>
      <c r="I169" s="135">
        <f>G169/(Table1123457[[#This Row],[b (mm)]]*Z169^2)</f>
        <v>5.5384325861492145E-3</v>
      </c>
      <c r="J169" s="135">
        <f t="shared" si="26"/>
        <v>1.148010381893865</v>
      </c>
      <c r="K169" s="135">
        <f t="shared" si="27"/>
        <v>1.1105636849228456E-5</v>
      </c>
      <c r="L169" s="135">
        <f>E169/(Table1123457[[#This Row],[b (mm)]]*Z169)</f>
        <v>1.9145199063231853E-3</v>
      </c>
      <c r="M169" s="135">
        <f>Table1123457[[#This Row],[M (KN.mm)]]/(Table1123457[[#This Row],[b (mm)]]*Table1123457[[#This Row],[d (mm)]])</f>
        <v>1.55076112412178</v>
      </c>
      <c r="N169" s="135">
        <f>Table1123457[[#This Row],[M (KN.mm)]]/(Table1123457[[#This Row],[b (mm)]]*Table1123457[[#This Row],[h (mm)]])</f>
        <v>1.4006874669487046</v>
      </c>
      <c r="O169" s="145">
        <f>Table1123457[[#This Row],[M (KN.mm)]]/(Table1123457[[#This Row],[b (mm)]]*Table1123457[[#This Row],[h (mm)]]*Table1123457[[#This Row],[L(mm)]])</f>
        <v>8.6462189317821269E-4</v>
      </c>
      <c r="P169" s="145">
        <f>Table1123457[[#This Row],[M (KN.mm)]]/(Table1123457[[#This Row],[b (mm)]]*Table1123457[[#This Row],[d (mm)]]*Table1123457[[#This Row],[L(mm)]])</f>
        <v>9.5725995316159264E-4</v>
      </c>
      <c r="Q169" s="145">
        <f>Table1123457[[#This Row],[M (KN.mm)]]/(Table1123457[[#This Row],[b (mm)]]*Table1123457[[#This Row],[h (mm)]]*Table1123457[[#This Row],[L(mm)]]*Table1123457[[#This Row],[fc (Mpa)]])</f>
        <v>1.9876365360418681E-5</v>
      </c>
      <c r="R169" s="145">
        <f>Table1123457[[#This Row],[M (KN.mm)]]/(Table1123457[[#This Row],[b (mm)]]*Table1123457[[#This Row],[h (mm)]]*Table1123457[[#This Row],[L(mm)]]/2)</f>
        <v>1.7292437863564254E-3</v>
      </c>
      <c r="S169" s="145">
        <f>Table1123457[[#This Row],[M (KN.mm)]]/(Table1123457[[#This Row],[a (mm)]]*Table1123457[[#This Row],[b (mm)]]*Table1123457[[#This Row],[h (mm)]]*Table1123457[[#This Row],[L(mm)]]/2)</f>
        <v>2.1348688720449697E-6</v>
      </c>
      <c r="T169" s="111">
        <f>G169/($AL$5*AH169*0.001*Table1123457[[#This Row],[pho (%)]])</f>
        <v>8.0012589634483805E-6</v>
      </c>
      <c r="U169" s="145">
        <f>Table1123457[[#This Row],[M (KN.mm)]]/(Table1123457[[#This Row],[b (mm)]]*Table1123457[[#This Row],[d (mm)]]*Table1123457[[#This Row],[pho (%)]])</f>
        <v>1.8683868965322652</v>
      </c>
      <c r="V169" s="145">
        <f>E169*224.8/(2*SQRT(Table1123457[[#This Row],[fc (Mpa)]]*145.037)*Table1123457[[#This Row],[b (mm)]]*Table1123457[[#This Row],[d (mm)]]*(1/25.4)^2)</f>
        <v>1.7478718914093669</v>
      </c>
      <c r="W169" s="145">
        <f>Table1123457[[#This Row],[M (KN.mm)]]/$G$171</f>
        <v>0.81141439205955357</v>
      </c>
      <c r="X169" s="111">
        <f t="shared" si="23"/>
        <v>1.7478718914093669</v>
      </c>
      <c r="Y169" s="111">
        <v>810</v>
      </c>
      <c r="Z169" s="111">
        <v>280</v>
      </c>
      <c r="AA169" s="111">
        <v>310</v>
      </c>
      <c r="AB169" s="111">
        <v>122</v>
      </c>
      <c r="AC169" s="7">
        <v>43.5</v>
      </c>
      <c r="AD169" s="135">
        <f>Table1123457[[#This Row],[pho (%)]]/100*Table1123457[[#This Row],[b (mm)]]*Table1123457[[#This Row],[h (mm)]]</f>
        <v>313.90600000000001</v>
      </c>
      <c r="AE169" s="135">
        <v>0.83</v>
      </c>
      <c r="AF169" s="160">
        <v>525</v>
      </c>
      <c r="AG169" s="135">
        <f>(1/3-0.21*(MIN(Table1123457[[#This Row],[b (mm)]],AA169)/MAX(Table1123457[[#This Row],[b (mm)]],AA169))*(MIN(Table1123457[[#This Row],[b (mm)]],AA169)^4/(12*MAX(Table1123457[[#This Row],[b (mm)]],AA169)^4)))*MAX(Table1123457[[#This Row],[b (mm)]],AA169)*MIN(Table1123457[[#This Row],[b (mm)]],AA169)^3</f>
        <v>187544629.45683298</v>
      </c>
      <c r="AH169" s="135">
        <f>Table1123457[[#This Row],[b (mm)]]*AA169^3/12</f>
        <v>302875166.66666669</v>
      </c>
      <c r="AI169" s="111">
        <v>1620</v>
      </c>
      <c r="AK169" s="107"/>
    </row>
    <row r="170" spans="1:37" x14ac:dyDescent="0.25">
      <c r="A170" s="269" t="s">
        <v>166</v>
      </c>
      <c r="B170" s="269">
        <v>6</v>
      </c>
      <c r="C170" s="185">
        <v>169</v>
      </c>
      <c r="D170" s="185">
        <f>Table1123457[[#This Row],[a (mm)]]/Table1123457[[#This Row],[d (mm)]]</f>
        <v>2.8928571428571428</v>
      </c>
      <c r="E170" s="270">
        <v>75</v>
      </c>
      <c r="F170" s="137">
        <f>Table1123457[[#This Row],[d (mm)]]</f>
        <v>280</v>
      </c>
      <c r="G170" s="135">
        <f t="shared" si="24"/>
        <v>60750</v>
      </c>
      <c r="H170" s="135">
        <f t="shared" si="25"/>
        <v>7.6158772243832059E-6</v>
      </c>
      <c r="I170" s="135">
        <f>G170/(Table1123457[[#This Row],[b (mm)]]*Z170^2)</f>
        <v>6.3514135162261627E-3</v>
      </c>
      <c r="J170" s="135">
        <f t="shared" si="26"/>
        <v>1.3165256673094778</v>
      </c>
      <c r="K170" s="135">
        <f t="shared" si="27"/>
        <v>1.2735822074803273E-5</v>
      </c>
      <c r="L170" s="135">
        <f>E170/(Table1123457[[#This Row],[b (mm)]]*Z170)</f>
        <v>2.195550351288056E-3</v>
      </c>
      <c r="M170" s="135">
        <f>Table1123457[[#This Row],[M (KN.mm)]]/(Table1123457[[#This Row],[b (mm)]]*Table1123457[[#This Row],[d (mm)]])</f>
        <v>1.7783957845433256</v>
      </c>
      <c r="N170" s="135">
        <f>Table1123457[[#This Row],[M (KN.mm)]]/(Table1123457[[#This Row],[b (mm)]]*Table1123457[[#This Row],[h (mm)]])</f>
        <v>1.606292966684294</v>
      </c>
      <c r="O170" s="145">
        <f>Table1123457[[#This Row],[M (KN.mm)]]/(Table1123457[[#This Row],[b (mm)]]*Table1123457[[#This Row],[h (mm)]]*Table1123457[[#This Row],[L(mm)]])</f>
        <v>9.9153886832363839E-4</v>
      </c>
      <c r="P170" s="145">
        <f>Table1123457[[#This Row],[M (KN.mm)]]/(Table1123457[[#This Row],[b (mm)]]*Table1123457[[#This Row],[d (mm)]]*Table1123457[[#This Row],[L(mm)]])</f>
        <v>1.097775175644028E-3</v>
      </c>
      <c r="Q170" s="145">
        <f>Table1123457[[#This Row],[M (KN.mm)]]/(Table1123457[[#This Row],[b (mm)]]*Table1123457[[#This Row],[h (mm)]]*Table1123457[[#This Row],[L(mm)]]*Table1123457[[#This Row],[fc (Mpa)]])</f>
        <v>2.2793996972957203E-5</v>
      </c>
      <c r="R170" s="145">
        <f>Table1123457[[#This Row],[M (KN.mm)]]/(Table1123457[[#This Row],[b (mm)]]*Table1123457[[#This Row],[h (mm)]]*Table1123457[[#This Row],[L(mm)]]/2)</f>
        <v>1.9830777366472768E-3</v>
      </c>
      <c r="S170" s="145">
        <f>Table1123457[[#This Row],[M (KN.mm)]]/(Table1123457[[#This Row],[a (mm)]]*Table1123457[[#This Row],[b (mm)]]*Table1123457[[#This Row],[h (mm)]]*Table1123457[[#This Row],[L(mm)]]/2)</f>
        <v>2.4482441193176253E-6</v>
      </c>
      <c r="T170" s="111">
        <f>G170/($AL$5*AH170*0.001*Table1123457[[#This Row],[pho (%)]])</f>
        <v>9.175755692027959E-6</v>
      </c>
      <c r="U170" s="145">
        <f>Table1123457[[#This Row],[M (KN.mm)]]/(Table1123457[[#This Row],[b (mm)]]*Table1123457[[#This Row],[d (mm)]]*Table1123457[[#This Row],[pho (%)]])</f>
        <v>2.1426455235461752</v>
      </c>
      <c r="V170" s="145">
        <f>E170*224.8/(2*SQRT(Table1123457[[#This Row],[fc (Mpa)]]*145.037)*Table1123457[[#This Row],[b (mm)]]*Table1123457[[#This Row],[d (mm)]]*(1/25.4)^2)</f>
        <v>2.0044402424419343</v>
      </c>
      <c r="W170" s="145">
        <f>Table1123457[[#This Row],[M (KN.mm)]]/$G$171</f>
        <v>0.93052109181141451</v>
      </c>
      <c r="X170" s="111">
        <f t="shared" si="23"/>
        <v>2.0044402424419343</v>
      </c>
      <c r="Y170" s="111">
        <v>810</v>
      </c>
      <c r="Z170" s="111">
        <v>280</v>
      </c>
      <c r="AA170" s="111">
        <v>310</v>
      </c>
      <c r="AB170" s="111">
        <v>122</v>
      </c>
      <c r="AC170" s="7">
        <v>43.5</v>
      </c>
      <c r="AD170" s="135">
        <f>Table1123457[[#This Row],[pho (%)]]/100*Table1123457[[#This Row],[b (mm)]]*Table1123457[[#This Row],[h (mm)]]</f>
        <v>313.90600000000001</v>
      </c>
      <c r="AE170" s="135">
        <v>0.83</v>
      </c>
      <c r="AF170" s="160">
        <v>525</v>
      </c>
      <c r="AG170" s="135">
        <f>(1/3-0.21*(MIN(Table1123457[[#This Row],[b (mm)]],AA170)/MAX(Table1123457[[#This Row],[b (mm)]],AA170))*(MIN(Table1123457[[#This Row],[b (mm)]],AA170)^4/(12*MAX(Table1123457[[#This Row],[b (mm)]],AA170)^4)))*MAX(Table1123457[[#This Row],[b (mm)]],AA170)*MIN(Table1123457[[#This Row],[b (mm)]],AA170)^3</f>
        <v>187544629.45683298</v>
      </c>
      <c r="AH170" s="135">
        <f>Table1123457[[#This Row],[b (mm)]]*AA170^3/12</f>
        <v>302875166.66666669</v>
      </c>
      <c r="AI170" s="111">
        <v>1620</v>
      </c>
      <c r="AK170" s="107"/>
    </row>
    <row r="171" spans="1:37" ht="12" customHeight="1" x14ac:dyDescent="0.25">
      <c r="A171" s="269" t="s">
        <v>166</v>
      </c>
      <c r="B171" s="269" t="s">
        <v>141</v>
      </c>
      <c r="C171" s="185">
        <v>170</v>
      </c>
      <c r="D171" s="185">
        <f>Table1123457[[#This Row],[a (mm)]]/Table1123457[[#This Row],[d (mm)]]</f>
        <v>2.8928571428571428</v>
      </c>
      <c r="E171" s="270">
        <v>80.599999999999994</v>
      </c>
      <c r="F171" s="137">
        <f>Table1123457[[#This Row],[d (mm)]]</f>
        <v>280</v>
      </c>
      <c r="G171" s="135">
        <f t="shared" si="24"/>
        <v>65285.999999999993</v>
      </c>
      <c r="H171" s="135">
        <f t="shared" si="25"/>
        <v>8.1845293904704847E-6</v>
      </c>
      <c r="I171" s="135">
        <f>G171/(Table1123457[[#This Row],[b (mm)]]*Z171^2)</f>
        <v>6.8256523921043817E-3</v>
      </c>
      <c r="J171" s="135">
        <f t="shared" si="26"/>
        <v>1.4148262504685853</v>
      </c>
      <c r="K171" s="135">
        <f t="shared" si="27"/>
        <v>1.3686763456388584E-5</v>
      </c>
      <c r="L171" s="135">
        <f>E171/(Table1123457[[#This Row],[b (mm)]]*Z171)</f>
        <v>2.359484777517564E-3</v>
      </c>
      <c r="M171" s="135">
        <f>Table1123457[[#This Row],[M (KN.mm)]]/(Table1123457[[#This Row],[b (mm)]]*Table1123457[[#This Row],[d (mm)]])</f>
        <v>1.9111826697892269</v>
      </c>
      <c r="N171" s="135">
        <f>Table1123457[[#This Row],[M (KN.mm)]]/(Table1123457[[#This Row],[b (mm)]]*Table1123457[[#This Row],[h (mm)]])</f>
        <v>1.7262295081967212</v>
      </c>
      <c r="O171" s="145">
        <f>Table1123457[[#This Row],[M (KN.mm)]]/(Table1123457[[#This Row],[b (mm)]]*Table1123457[[#This Row],[h (mm)]]*Table1123457[[#This Row],[L(mm)]])</f>
        <v>1.0655737704918032E-3</v>
      </c>
      <c r="P171" s="145">
        <f>Table1123457[[#This Row],[M (KN.mm)]]/(Table1123457[[#This Row],[b (mm)]]*Table1123457[[#This Row],[d (mm)]]*Table1123457[[#This Row],[L(mm)]])</f>
        <v>1.179742388758782E-3</v>
      </c>
      <c r="Q171" s="145">
        <f>Table1123457[[#This Row],[M (KN.mm)]]/(Table1123457[[#This Row],[b (mm)]]*Table1123457[[#This Row],[h (mm)]]*Table1123457[[#This Row],[L(mm)]]*Table1123457[[#This Row],[fc (Mpa)]])</f>
        <v>2.4495948746938005E-5</v>
      </c>
      <c r="R171" s="145">
        <f>Table1123457[[#This Row],[M (KN.mm)]]/(Table1123457[[#This Row],[b (mm)]]*Table1123457[[#This Row],[h (mm)]]*Table1123457[[#This Row],[L(mm)]]/2)</f>
        <v>2.1311475409836063E-3</v>
      </c>
      <c r="S171" s="145">
        <f>Table1123457[[#This Row],[M (KN.mm)]]/(Table1123457[[#This Row],[a (mm)]]*Table1123457[[#This Row],[b (mm)]]*Table1123457[[#This Row],[h (mm)]]*Table1123457[[#This Row],[L(mm)]]/2)</f>
        <v>2.6310463468933412E-6</v>
      </c>
      <c r="T171" s="111">
        <f>G171/($AL$5*AH171*0.001*Table1123457[[#This Row],[pho (%)]])</f>
        <v>9.8608787836993779E-6</v>
      </c>
      <c r="U171" s="145">
        <f>Table1123457[[#This Row],[M (KN.mm)]]/(Table1123457[[#This Row],[b (mm)]]*Table1123457[[#This Row],[d (mm)]]*Table1123457[[#This Row],[pho (%)]])</f>
        <v>2.3026297226376231</v>
      </c>
      <c r="V171" s="145">
        <f>E171*224.8/(2*SQRT(Table1123457[[#This Row],[fc (Mpa)]]*145.037)*Table1123457[[#This Row],[b (mm)]]*Table1123457[[#This Row],[d (mm)]]*(1/25.4)^2)</f>
        <v>2.1541051138775988</v>
      </c>
      <c r="W171" s="145">
        <f>Table1123457[[#This Row],[M (KN.mm)]]/$G$171</f>
        <v>1</v>
      </c>
      <c r="X171" s="111">
        <f t="shared" si="23"/>
        <v>2.1541051138775988</v>
      </c>
      <c r="Y171" s="111">
        <v>810</v>
      </c>
      <c r="Z171" s="111">
        <v>280</v>
      </c>
      <c r="AA171" s="111">
        <v>310</v>
      </c>
      <c r="AB171" s="111">
        <v>122</v>
      </c>
      <c r="AC171" s="7">
        <v>43.5</v>
      </c>
      <c r="AD171" s="135">
        <f>Table1123457[[#This Row],[pho (%)]]/100*Table1123457[[#This Row],[b (mm)]]*Table1123457[[#This Row],[h (mm)]]</f>
        <v>313.90600000000001</v>
      </c>
      <c r="AE171" s="135">
        <v>0.83</v>
      </c>
      <c r="AF171" s="160">
        <v>525</v>
      </c>
      <c r="AG171" s="135">
        <f>(1/3-0.21*(MIN(Table1123457[[#This Row],[b (mm)]],AA171)/MAX(Table1123457[[#This Row],[b (mm)]],AA171))*(MIN(Table1123457[[#This Row],[b (mm)]],AA171)^4/(12*MAX(Table1123457[[#This Row],[b (mm)]],AA171)^4)))*MAX(Table1123457[[#This Row],[b (mm)]],AA171)*MIN(Table1123457[[#This Row],[b (mm)]],AA171)^3</f>
        <v>187544629.45683298</v>
      </c>
      <c r="AH171" s="135">
        <f>Table1123457[[#This Row],[b (mm)]]*AA171^3/12</f>
        <v>302875166.66666669</v>
      </c>
      <c r="AI171" s="111">
        <v>1620</v>
      </c>
      <c r="AK171" s="107"/>
    </row>
    <row r="172" spans="1:37" x14ac:dyDescent="0.25">
      <c r="A172" s="271" t="s">
        <v>167</v>
      </c>
      <c r="B172" s="271">
        <v>3</v>
      </c>
      <c r="C172" s="185">
        <v>171</v>
      </c>
      <c r="D172" s="185">
        <f>Table1123457[[#This Row],[a (mm)]]/Table1123457[[#This Row],[d (mm)]]</f>
        <v>2.94</v>
      </c>
      <c r="E172" s="272">
        <v>30.9</v>
      </c>
      <c r="F172" s="137">
        <f>Table1123457[[#This Row],[d (mm)]]</f>
        <v>250</v>
      </c>
      <c r="G172" s="135">
        <f t="shared" si="24"/>
        <v>22711.5</v>
      </c>
      <c r="H172" s="135">
        <f t="shared" si="25"/>
        <v>3.5444856741333103E-6</v>
      </c>
      <c r="I172" s="135">
        <f>G172/(Table1123457[[#This Row],[b (mm)]]*Z172^2)</f>
        <v>3.7079999999999999E-3</v>
      </c>
      <c r="J172" s="135">
        <f t="shared" si="26"/>
        <v>0.70319167093360624</v>
      </c>
      <c r="K172" s="135">
        <f t="shared" si="27"/>
        <v>1.0120038390863786E-5</v>
      </c>
      <c r="L172" s="135">
        <f>E172/(Table1123457[[#This Row],[b (mm)]]*Z172)</f>
        <v>1.2612244897959183E-3</v>
      </c>
      <c r="M172" s="135">
        <f>Table1123457[[#This Row],[M (KN.mm)]]/(Table1123457[[#This Row],[b (mm)]]*Table1123457[[#This Row],[d (mm)]])</f>
        <v>0.92700000000000005</v>
      </c>
      <c r="N172" s="135">
        <f>Table1123457[[#This Row],[M (KN.mm)]]/(Table1123457[[#This Row],[b (mm)]]*Table1123457[[#This Row],[h (mm)]])</f>
        <v>0.7475806451612903</v>
      </c>
      <c r="O172" s="145">
        <f>Table1123457[[#This Row],[M (KN.mm)]]/(Table1123457[[#This Row],[b (mm)]]*Table1123457[[#This Row],[h (mm)]]*Table1123457[[#This Row],[L(mm)]])</f>
        <v>5.0855826201448324E-4</v>
      </c>
      <c r="P172" s="145">
        <f>Table1123457[[#This Row],[M (KN.mm)]]/(Table1123457[[#This Row],[b (mm)]]*Table1123457[[#This Row],[d (mm)]]*Table1123457[[#This Row],[L(mm)]])</f>
        <v>6.3061224489795913E-4</v>
      </c>
      <c r="Q172" s="145">
        <f>Table1123457[[#This Row],[M (KN.mm)]]/(Table1123457[[#This Row],[b (mm)]]*Table1123457[[#This Row],[h (mm)]]*Table1123457[[#This Row],[L(mm)]]*Table1123457[[#This Row],[fc (Mpa)]])</f>
        <v>1.2526065566859193E-5</v>
      </c>
      <c r="R172" s="145">
        <f>Table1123457[[#This Row],[M (KN.mm)]]/(Table1123457[[#This Row],[b (mm)]]*Table1123457[[#This Row],[h (mm)]]*Table1123457[[#This Row],[L(mm)]]/2)</f>
        <v>1.0171165240289665E-3</v>
      </c>
      <c r="S172" s="145">
        <f>Table1123457[[#This Row],[M (KN.mm)]]/(Table1123457[[#This Row],[a (mm)]]*Table1123457[[#This Row],[b (mm)]]*Table1123457[[#This Row],[h (mm)]]*Table1123457[[#This Row],[L(mm)]]/2)</f>
        <v>1.3838320054815869E-6</v>
      </c>
      <c r="T172" s="111">
        <f>G172/($AL$5*AH172*0.001*Table1123457[[#This Row],[pho (%)]])</f>
        <v>4.3759082396707534E-6</v>
      </c>
      <c r="U172" s="145">
        <f>Table1123457[[#This Row],[M (KN.mm)]]/(Table1123457[[#This Row],[b (mm)]]*Table1123457[[#This Row],[d (mm)]]*Table1123457[[#This Row],[pho (%)]])</f>
        <v>1.1444444444444444</v>
      </c>
      <c r="V172" s="145">
        <f>E172*224.8/(2*SQRT(Table1123457[[#This Row],[fc (Mpa)]]*145.037)*Table1123457[[#This Row],[b (mm)]]*Table1123457[[#This Row],[d (mm)]]*(1/25.4)^2)</f>
        <v>1.1918558122319503</v>
      </c>
      <c r="W172" s="145">
        <f>Table1123457[[#This Row],[M (KN.mm)]]/$G$176</f>
        <v>0.62424242424242427</v>
      </c>
      <c r="X172" s="111">
        <f t="shared" si="23"/>
        <v>1.1918558122319503</v>
      </c>
      <c r="Y172" s="111">
        <f>2.94*Table1123457[[#This Row],[d (mm)]]</f>
        <v>735</v>
      </c>
      <c r="Z172" s="111">
        <v>250</v>
      </c>
      <c r="AA172" s="111">
        <v>310</v>
      </c>
      <c r="AB172" s="111">
        <v>98</v>
      </c>
      <c r="AC172" s="7">
        <v>40.6</v>
      </c>
      <c r="AD172" s="135">
        <f>Table1123457[[#This Row],[pho (%)]]/100*Table1123457[[#This Row],[b (mm)]]*Table1123457[[#This Row],[h (mm)]]</f>
        <v>246.07800000000006</v>
      </c>
      <c r="AE172" s="135">
        <v>0.81</v>
      </c>
      <c r="AF172" s="160">
        <v>525</v>
      </c>
      <c r="AG172" s="135">
        <f>(1/3-0.21*(MIN(Table1123457[[#This Row],[b (mm)]],AA172)/MAX(Table1123457[[#This Row],[b (mm)]],AA172))*(MIN(Table1123457[[#This Row],[b (mm)]],AA172)^4/(12*MAX(Table1123457[[#This Row],[b (mm)]],AA172)^4)))*MAX(Table1123457[[#This Row],[b (mm)]],AA172)*MIN(Table1123457[[#This Row],[b (mm)]],AA172)^3</f>
        <v>97240385.37338239</v>
      </c>
      <c r="AH172" s="135">
        <f>Table1123457[[#This Row],[b (mm)]]*AA172^3/12</f>
        <v>243293166.66666666</v>
      </c>
      <c r="AI172" s="111">
        <v>1470</v>
      </c>
      <c r="AK172" s="107"/>
    </row>
    <row r="173" spans="1:37" x14ac:dyDescent="0.25">
      <c r="A173" s="271" t="s">
        <v>167</v>
      </c>
      <c r="B173" s="271">
        <v>4</v>
      </c>
      <c r="C173" s="185">
        <v>172</v>
      </c>
      <c r="D173" s="185">
        <f>Table1123457[[#This Row],[a (mm)]]/Table1123457[[#This Row],[d (mm)]]</f>
        <v>2.94</v>
      </c>
      <c r="E173" s="272">
        <v>37.1</v>
      </c>
      <c r="F173" s="137">
        <f>Table1123457[[#This Row],[d (mm)]]</f>
        <v>250</v>
      </c>
      <c r="G173" s="135">
        <f t="shared" si="24"/>
        <v>27268.5</v>
      </c>
      <c r="H173" s="135">
        <f t="shared" si="25"/>
        <v>4.2556769744448485E-6</v>
      </c>
      <c r="I173" s="135">
        <f>G173/(Table1123457[[#This Row],[b (mm)]]*Z173^2)</f>
        <v>4.4520000000000002E-3</v>
      </c>
      <c r="J173" s="135">
        <f t="shared" si="26"/>
        <v>0.84428514536041399</v>
      </c>
      <c r="K173" s="135">
        <f t="shared" si="27"/>
        <v>1.2150596255697298E-5</v>
      </c>
      <c r="L173" s="135">
        <f>E173/(Table1123457[[#This Row],[b (mm)]]*Z173)</f>
        <v>1.5142857142857143E-3</v>
      </c>
      <c r="M173" s="135">
        <f>Table1123457[[#This Row],[M (KN.mm)]]/(Table1123457[[#This Row],[b (mm)]]*Table1123457[[#This Row],[d (mm)]])</f>
        <v>1.113</v>
      </c>
      <c r="N173" s="135">
        <f>Table1123457[[#This Row],[M (KN.mm)]]/(Table1123457[[#This Row],[b (mm)]]*Table1123457[[#This Row],[h (mm)]])</f>
        <v>0.89758064516129032</v>
      </c>
      <c r="O173" s="145">
        <f>Table1123457[[#This Row],[M (KN.mm)]]/(Table1123457[[#This Row],[b (mm)]]*Table1123457[[#This Row],[h (mm)]]*Table1123457[[#This Row],[L(mm)]])</f>
        <v>6.1059907834101388E-4</v>
      </c>
      <c r="P173" s="145">
        <f>Table1123457[[#This Row],[M (KN.mm)]]/(Table1123457[[#This Row],[b (mm)]]*Table1123457[[#This Row],[d (mm)]]*Table1123457[[#This Row],[L(mm)]])</f>
        <v>7.5714285714285716E-4</v>
      </c>
      <c r="Q173" s="145">
        <f>Table1123457[[#This Row],[M (KN.mm)]]/(Table1123457[[#This Row],[b (mm)]]*Table1123457[[#This Row],[h (mm)]]*Table1123457[[#This Row],[L(mm)]]*Table1123457[[#This Row],[fc (Mpa)]])</f>
        <v>1.5039386166034823E-5</v>
      </c>
      <c r="R173" s="145">
        <f>Table1123457[[#This Row],[M (KN.mm)]]/(Table1123457[[#This Row],[b (mm)]]*Table1123457[[#This Row],[h (mm)]]*Table1123457[[#This Row],[L(mm)]]/2)</f>
        <v>1.2211981566820278E-3</v>
      </c>
      <c r="S173" s="145">
        <f>Table1123457[[#This Row],[M (KN.mm)]]/(Table1123457[[#This Row],[a (mm)]]*Table1123457[[#This Row],[b (mm)]]*Table1123457[[#This Row],[h (mm)]]*Table1123457[[#This Row],[L(mm)]]/2)</f>
        <v>1.6614940907238471E-6</v>
      </c>
      <c r="T173" s="111">
        <f>G173/($AL$5*AH173*0.001*Table1123457[[#This Row],[pho (%)]])</f>
        <v>5.2539221906726518E-6</v>
      </c>
      <c r="U173" s="145">
        <f>Table1123457[[#This Row],[M (KN.mm)]]/(Table1123457[[#This Row],[b (mm)]]*Table1123457[[#This Row],[d (mm)]]*Table1123457[[#This Row],[pho (%)]])</f>
        <v>1.374074074074074</v>
      </c>
      <c r="V173" s="145">
        <f>E173*224.8/(2*SQRT(Table1123457[[#This Row],[fc (Mpa)]]*145.037)*Table1123457[[#This Row],[b (mm)]]*Table1123457[[#This Row],[d (mm)]]*(1/25.4)^2)</f>
        <v>1.4309984023885229</v>
      </c>
      <c r="W173" s="145">
        <f>Table1123457[[#This Row],[M (KN.mm)]]/$G$176</f>
        <v>0.74949494949494955</v>
      </c>
      <c r="X173" s="111">
        <f t="shared" si="23"/>
        <v>1.4309984023885229</v>
      </c>
      <c r="Y173" s="111">
        <f>2.94*Table1123457[[#This Row],[d (mm)]]</f>
        <v>735</v>
      </c>
      <c r="Z173" s="111">
        <v>250</v>
      </c>
      <c r="AA173" s="111">
        <v>310</v>
      </c>
      <c r="AB173" s="111">
        <v>98</v>
      </c>
      <c r="AC173" s="7">
        <v>40.6</v>
      </c>
      <c r="AD173" s="135">
        <f>Table1123457[[#This Row],[pho (%)]]/100*Table1123457[[#This Row],[b (mm)]]*Table1123457[[#This Row],[h (mm)]]</f>
        <v>246.07800000000006</v>
      </c>
      <c r="AE173" s="135">
        <v>0.81</v>
      </c>
      <c r="AF173" s="160">
        <v>525</v>
      </c>
      <c r="AG173" s="135">
        <f>(1/3-0.21*(MIN(Table1123457[[#This Row],[b (mm)]],AA173)/MAX(Table1123457[[#This Row],[b (mm)]],AA173))*(MIN(Table1123457[[#This Row],[b (mm)]],AA173)^4/(12*MAX(Table1123457[[#This Row],[b (mm)]],AA173)^4)))*MAX(Table1123457[[#This Row],[b (mm)]],AA173)*MIN(Table1123457[[#This Row],[b (mm)]],AA173)^3</f>
        <v>97240385.37338239</v>
      </c>
      <c r="AH173" s="135">
        <f>Table1123457[[#This Row],[b (mm)]]*AA173^3/12</f>
        <v>243293166.66666666</v>
      </c>
      <c r="AI173" s="111">
        <v>1470</v>
      </c>
      <c r="AK173" s="107"/>
    </row>
    <row r="174" spans="1:37" x14ac:dyDescent="0.25">
      <c r="A174" s="271" t="s">
        <v>167</v>
      </c>
      <c r="B174" s="271">
        <v>5</v>
      </c>
      <c r="C174" s="185">
        <v>173</v>
      </c>
      <c r="D174" s="185">
        <f>Table1123457[[#This Row],[a (mm)]]/Table1123457[[#This Row],[d (mm)]]</f>
        <v>2.94</v>
      </c>
      <c r="E174" s="272">
        <v>42.9</v>
      </c>
      <c r="F174" s="137">
        <f>Table1123457[[#This Row],[d (mm)]]</f>
        <v>250</v>
      </c>
      <c r="G174" s="135">
        <f t="shared" si="24"/>
        <v>31531.5</v>
      </c>
      <c r="H174" s="135">
        <f t="shared" si="25"/>
        <v>4.9209849650588675E-6</v>
      </c>
      <c r="I174" s="135">
        <f>G174/(Table1123457[[#This Row],[b (mm)]]*Z174^2)</f>
        <v>5.1479999999999998E-3</v>
      </c>
      <c r="J174" s="135">
        <f t="shared" si="26"/>
        <v>0.97627581498549221</v>
      </c>
      <c r="K174" s="135">
        <f t="shared" si="27"/>
        <v>1.4050150387315742E-5</v>
      </c>
      <c r="L174" s="135">
        <f>E174/(Table1123457[[#This Row],[b (mm)]]*Z174)</f>
        <v>1.7510204081632652E-3</v>
      </c>
      <c r="M174" s="135">
        <f>Table1123457[[#This Row],[M (KN.mm)]]/(Table1123457[[#This Row],[b (mm)]]*Table1123457[[#This Row],[d (mm)]])</f>
        <v>1.2869999999999999</v>
      </c>
      <c r="N174" s="135">
        <f>Table1123457[[#This Row],[M (KN.mm)]]/(Table1123457[[#This Row],[b (mm)]]*Table1123457[[#This Row],[h (mm)]])</f>
        <v>1.0379032258064516</v>
      </c>
      <c r="O174" s="145">
        <f>Table1123457[[#This Row],[M (KN.mm)]]/(Table1123457[[#This Row],[b (mm)]]*Table1123457[[#This Row],[h (mm)]]*Table1123457[[#This Row],[L(mm)]])</f>
        <v>7.0605661619486503E-4</v>
      </c>
      <c r="P174" s="145">
        <f>Table1123457[[#This Row],[M (KN.mm)]]/(Table1123457[[#This Row],[b (mm)]]*Table1123457[[#This Row],[d (mm)]]*Table1123457[[#This Row],[L(mm)]])</f>
        <v>8.7551020408163269E-4</v>
      </c>
      <c r="Q174" s="145">
        <f>Table1123457[[#This Row],[M (KN.mm)]]/(Table1123457[[#This Row],[b (mm)]]*Table1123457[[#This Row],[h (mm)]]*Table1123457[[#This Row],[L(mm)]]*Table1123457[[#This Row],[fc (Mpa)]])</f>
        <v>1.7390557049134607E-5</v>
      </c>
      <c r="R174" s="145">
        <f>Table1123457[[#This Row],[M (KN.mm)]]/(Table1123457[[#This Row],[b (mm)]]*Table1123457[[#This Row],[h (mm)]]*Table1123457[[#This Row],[L(mm)]]/2)</f>
        <v>1.4121132323897301E-3</v>
      </c>
      <c r="S174" s="145">
        <f>Table1123457[[#This Row],[M (KN.mm)]]/(Table1123457[[#This Row],[a (mm)]]*Table1123457[[#This Row],[b (mm)]]*Table1123457[[#This Row],[h (mm)]]*Table1123457[[#This Row],[L(mm)]]/2)</f>
        <v>1.921242493047252E-6</v>
      </c>
      <c r="T174" s="111">
        <f>G174/($AL$5*AH174*0.001*Table1123457[[#This Row],[pho (%)]])</f>
        <v>6.0752900803195894E-6</v>
      </c>
      <c r="U174" s="145">
        <f>Table1123457[[#This Row],[M (KN.mm)]]/(Table1123457[[#This Row],[b (mm)]]*Table1123457[[#This Row],[d (mm)]]*Table1123457[[#This Row],[pho (%)]])</f>
        <v>1.5888888888888888</v>
      </c>
      <c r="V174" s="145">
        <f>E174*224.8/(2*SQRT(Table1123457[[#This Row],[fc (Mpa)]]*145.037)*Table1123457[[#This Row],[b (mm)]]*Table1123457[[#This Row],[d (mm)]]*(1/25.4)^2)</f>
        <v>1.6547124383414455</v>
      </c>
      <c r="W174" s="145">
        <f>Table1123457[[#This Row],[M (KN.mm)]]/$G$176</f>
        <v>0.8666666666666667</v>
      </c>
      <c r="X174" s="111">
        <f t="shared" si="23"/>
        <v>1.6547124383414455</v>
      </c>
      <c r="Y174" s="111">
        <f>2.94*Table1123457[[#This Row],[d (mm)]]</f>
        <v>735</v>
      </c>
      <c r="Z174" s="111">
        <v>250</v>
      </c>
      <c r="AA174" s="111">
        <v>310</v>
      </c>
      <c r="AB174" s="111">
        <v>98</v>
      </c>
      <c r="AC174" s="7">
        <v>40.6</v>
      </c>
      <c r="AD174" s="135">
        <f>Table1123457[[#This Row],[pho (%)]]/100*Table1123457[[#This Row],[b (mm)]]*Table1123457[[#This Row],[h (mm)]]</f>
        <v>246.07800000000006</v>
      </c>
      <c r="AE174" s="135">
        <v>0.81</v>
      </c>
      <c r="AF174" s="160">
        <v>525</v>
      </c>
      <c r="AG174" s="135">
        <f>(1/3-0.21*(MIN(Table1123457[[#This Row],[b (mm)]],AA174)/MAX(Table1123457[[#This Row],[b (mm)]],AA174))*(MIN(Table1123457[[#This Row],[b (mm)]],AA174)^4/(12*MAX(Table1123457[[#This Row],[b (mm)]],AA174)^4)))*MAX(Table1123457[[#This Row],[b (mm)]],AA174)*MIN(Table1123457[[#This Row],[b (mm)]],AA174)^3</f>
        <v>97240385.37338239</v>
      </c>
      <c r="AH174" s="135">
        <f>Table1123457[[#This Row],[b (mm)]]*AA174^3/12</f>
        <v>243293166.66666666</v>
      </c>
      <c r="AI174" s="111">
        <v>1470</v>
      </c>
      <c r="AK174" s="107"/>
    </row>
    <row r="175" spans="1:37" x14ac:dyDescent="0.25">
      <c r="A175" s="271" t="s">
        <v>167</v>
      </c>
      <c r="B175" s="271">
        <v>6</v>
      </c>
      <c r="C175" s="185">
        <v>174</v>
      </c>
      <c r="D175" s="185">
        <f>Table1123457[[#This Row],[a (mm)]]/Table1123457[[#This Row],[d (mm)]]</f>
        <v>2.94</v>
      </c>
      <c r="E175" s="272">
        <v>47.6</v>
      </c>
      <c r="F175" s="137">
        <f>Table1123457[[#This Row],[d (mm)]]</f>
        <v>250</v>
      </c>
      <c r="G175" s="135">
        <f t="shared" si="24"/>
        <v>34986</v>
      </c>
      <c r="H175" s="135">
        <f t="shared" si="25"/>
        <v>5.4601138540047113E-6</v>
      </c>
      <c r="I175" s="135">
        <f>G175/(Table1123457[[#This Row],[b (mm)]]*Z175^2)</f>
        <v>5.7120000000000001E-3</v>
      </c>
      <c r="J175" s="135">
        <f t="shared" si="26"/>
        <v>1.0832337714058142</v>
      </c>
      <c r="K175" s="135">
        <f t="shared" si="27"/>
        <v>1.5589444252592757E-5</v>
      </c>
      <c r="L175" s="135">
        <f>E175/(Table1123457[[#This Row],[b (mm)]]*Z175)</f>
        <v>1.9428571428571429E-3</v>
      </c>
      <c r="M175" s="135">
        <f>Table1123457[[#This Row],[M (KN.mm)]]/(Table1123457[[#This Row],[b (mm)]]*Table1123457[[#This Row],[d (mm)]])</f>
        <v>1.4279999999999999</v>
      </c>
      <c r="N175" s="135">
        <f>Table1123457[[#This Row],[M (KN.mm)]]/(Table1123457[[#This Row],[b (mm)]]*Table1123457[[#This Row],[h (mm)]])</f>
        <v>1.1516129032258065</v>
      </c>
      <c r="O175" s="145">
        <f>Table1123457[[#This Row],[M (KN.mm)]]/(Table1123457[[#This Row],[b (mm)]]*Table1123457[[#This Row],[h (mm)]]*Table1123457[[#This Row],[L(mm)]])</f>
        <v>7.8341013824884793E-4</v>
      </c>
      <c r="P175" s="145">
        <f>Table1123457[[#This Row],[M (KN.mm)]]/(Table1123457[[#This Row],[b (mm)]]*Table1123457[[#This Row],[d (mm)]]*Table1123457[[#This Row],[L(mm)]])</f>
        <v>9.7142857142857144E-4</v>
      </c>
      <c r="Q175" s="145">
        <f>Table1123457[[#This Row],[M (KN.mm)]]/(Table1123457[[#This Row],[b (mm)]]*Table1123457[[#This Row],[h (mm)]]*Table1123457[[#This Row],[L(mm)]]*Table1123457[[#This Row],[fc (Mpa)]])</f>
        <v>1.9295816213025811E-5</v>
      </c>
      <c r="R175" s="145">
        <f>Table1123457[[#This Row],[M (KN.mm)]]/(Table1123457[[#This Row],[b (mm)]]*Table1123457[[#This Row],[h (mm)]]*Table1123457[[#This Row],[L(mm)]]/2)</f>
        <v>1.5668202764976959E-3</v>
      </c>
      <c r="S175" s="145">
        <f>Table1123457[[#This Row],[M (KN.mm)]]/(Table1123457[[#This Row],[a (mm)]]*Table1123457[[#This Row],[b (mm)]]*Table1123457[[#This Row],[h (mm)]]*Table1123457[[#This Row],[L(mm)]]/2)</f>
        <v>2.1317282673438039E-6</v>
      </c>
      <c r="T175" s="111">
        <f>G175/($AL$5*AH175*0.001*Table1123457[[#This Row],[pho (%)]])</f>
        <v>6.7408813012403837E-6</v>
      </c>
      <c r="U175" s="145">
        <f>Table1123457[[#This Row],[M (KN.mm)]]/(Table1123457[[#This Row],[b (mm)]]*Table1123457[[#This Row],[d (mm)]]*Table1123457[[#This Row],[pho (%)]])</f>
        <v>1.7629629629629631</v>
      </c>
      <c r="V175" s="145">
        <f>E175*224.8/(2*SQRT(Table1123457[[#This Row],[fc (Mpa)]]*145.037)*Table1123457[[#This Row],[b (mm)]]*Table1123457[[#This Row],[d (mm)]]*(1/25.4)^2)</f>
        <v>1.8359979502343315</v>
      </c>
      <c r="W175" s="145">
        <f>Table1123457[[#This Row],[M (KN.mm)]]/$G$176</f>
        <v>0.96161616161616159</v>
      </c>
      <c r="X175" s="111">
        <f t="shared" si="23"/>
        <v>1.8359979502343315</v>
      </c>
      <c r="Y175" s="111">
        <f>2.94*Table1123457[[#This Row],[d (mm)]]</f>
        <v>735</v>
      </c>
      <c r="Z175" s="111">
        <v>250</v>
      </c>
      <c r="AA175" s="111">
        <v>310</v>
      </c>
      <c r="AB175" s="111">
        <v>98</v>
      </c>
      <c r="AC175" s="7">
        <v>40.6</v>
      </c>
      <c r="AD175" s="135">
        <f>Table1123457[[#This Row],[pho (%)]]/100*Table1123457[[#This Row],[b (mm)]]*Table1123457[[#This Row],[h (mm)]]</f>
        <v>246.07800000000006</v>
      </c>
      <c r="AE175" s="135">
        <v>0.81</v>
      </c>
      <c r="AF175" s="160">
        <v>525</v>
      </c>
      <c r="AG175" s="135">
        <f>(1/3-0.21*(MIN(Table1123457[[#This Row],[b (mm)]],AA175)/MAX(Table1123457[[#This Row],[b (mm)]],AA175))*(MIN(Table1123457[[#This Row],[b (mm)]],AA175)^4/(12*MAX(Table1123457[[#This Row],[b (mm)]],AA175)^4)))*MAX(Table1123457[[#This Row],[b (mm)]],AA175)*MIN(Table1123457[[#This Row],[b (mm)]],AA175)^3</f>
        <v>97240385.37338239</v>
      </c>
      <c r="AH175" s="135">
        <f>Table1123457[[#This Row],[b (mm)]]*AA175^3/12</f>
        <v>243293166.66666666</v>
      </c>
      <c r="AI175" s="111">
        <v>1470</v>
      </c>
      <c r="AK175" s="107"/>
    </row>
    <row r="176" spans="1:37" x14ac:dyDescent="0.25">
      <c r="A176" s="271" t="s">
        <v>167</v>
      </c>
      <c r="B176" s="271" t="s">
        <v>141</v>
      </c>
      <c r="C176" s="185">
        <v>175</v>
      </c>
      <c r="D176" s="185">
        <f>Table1123457[[#This Row],[a (mm)]]/Table1123457[[#This Row],[d (mm)]]</f>
        <v>2.94</v>
      </c>
      <c r="E176" s="272">
        <v>49.5</v>
      </c>
      <c r="F176" s="137">
        <f>Table1123457[[#This Row],[d (mm)]]</f>
        <v>250</v>
      </c>
      <c r="G176" s="135">
        <f t="shared" si="24"/>
        <v>36382.5</v>
      </c>
      <c r="H176" s="135">
        <f t="shared" si="25"/>
        <v>5.6780595750679247E-6</v>
      </c>
      <c r="I176" s="135">
        <f>G176/(Table1123457[[#This Row],[b (mm)]]*Z176^2)</f>
        <v>5.94E-3</v>
      </c>
      <c r="J176" s="135">
        <f t="shared" si="26"/>
        <v>1.1264720942140294</v>
      </c>
      <c r="K176" s="135">
        <f t="shared" si="27"/>
        <v>1.6211711985364316E-5</v>
      </c>
      <c r="L176" s="135">
        <f>E176/(Table1123457[[#This Row],[b (mm)]]*Z176)</f>
        <v>2.0204081632653062E-3</v>
      </c>
      <c r="M176" s="135">
        <f>Table1123457[[#This Row],[M (KN.mm)]]/(Table1123457[[#This Row],[b (mm)]]*Table1123457[[#This Row],[d (mm)]])</f>
        <v>1.4850000000000001</v>
      </c>
      <c r="N176" s="135">
        <f>Table1123457[[#This Row],[M (KN.mm)]]/(Table1123457[[#This Row],[b (mm)]]*Table1123457[[#This Row],[h (mm)]])</f>
        <v>1.1975806451612903</v>
      </c>
      <c r="O176" s="145">
        <f>Table1123457[[#This Row],[M (KN.mm)]]/(Table1123457[[#This Row],[b (mm)]]*Table1123457[[#This Row],[h (mm)]]*Table1123457[[#This Row],[L(mm)]])</f>
        <v>8.1468071099407506E-4</v>
      </c>
      <c r="P176" s="145">
        <f>Table1123457[[#This Row],[M (KN.mm)]]/(Table1123457[[#This Row],[b (mm)]]*Table1123457[[#This Row],[d (mm)]]*Table1123457[[#This Row],[L(mm)]])</f>
        <v>1.0102040816326531E-3</v>
      </c>
      <c r="Q176" s="145">
        <f>Table1123457[[#This Row],[M (KN.mm)]]/(Table1123457[[#This Row],[b (mm)]]*Table1123457[[#This Row],[h (mm)]]*Table1123457[[#This Row],[L(mm)]]*Table1123457[[#This Row],[fc (Mpa)]])</f>
        <v>2.0066027364386084E-5</v>
      </c>
      <c r="R176" s="145">
        <f>Table1123457[[#This Row],[M (KN.mm)]]/(Table1123457[[#This Row],[b (mm)]]*Table1123457[[#This Row],[h (mm)]]*Table1123457[[#This Row],[L(mm)]]/2)</f>
        <v>1.6293614219881501E-3</v>
      </c>
      <c r="S176" s="145">
        <f>Table1123457[[#This Row],[M (KN.mm)]]/(Table1123457[[#This Row],[a (mm)]]*Table1123457[[#This Row],[b (mm)]]*Table1123457[[#This Row],[h (mm)]]*Table1123457[[#This Row],[L(mm)]]/2)</f>
        <v>2.2168182612083673E-6</v>
      </c>
      <c r="T176" s="111">
        <f>G176/($AL$5*AH176*0.001*Table1123457[[#This Row],[pho (%)]])</f>
        <v>7.0099500926764494E-6</v>
      </c>
      <c r="U176" s="145">
        <f>Table1123457[[#This Row],[M (KN.mm)]]/(Table1123457[[#This Row],[b (mm)]]*Table1123457[[#This Row],[d (mm)]]*Table1123457[[#This Row],[pho (%)]])</f>
        <v>1.8333333333333333</v>
      </c>
      <c r="V176" s="145">
        <f>E176*224.8/(2*SQRT(Table1123457[[#This Row],[fc (Mpa)]]*145.037)*Table1123457[[#This Row],[b (mm)]]*Table1123457[[#This Row],[d (mm)]]*(1/25.4)^2)</f>
        <v>1.9092835827016681</v>
      </c>
      <c r="W176" s="145">
        <f>Table1123457[[#This Row],[M (KN.mm)]]/$G$176</f>
        <v>1</v>
      </c>
      <c r="X176" s="111">
        <f t="shared" si="23"/>
        <v>1.9092835827016681</v>
      </c>
      <c r="Y176" s="111">
        <f>2.94*Table1123457[[#This Row],[d (mm)]]</f>
        <v>735</v>
      </c>
      <c r="Z176" s="111">
        <v>250</v>
      </c>
      <c r="AA176" s="111">
        <v>310</v>
      </c>
      <c r="AB176" s="111">
        <v>98</v>
      </c>
      <c r="AC176" s="7">
        <v>40.6</v>
      </c>
      <c r="AD176" s="135">
        <f>Table1123457[[#This Row],[pho (%)]]/100*Table1123457[[#This Row],[b (mm)]]*Table1123457[[#This Row],[h (mm)]]</f>
        <v>246.07800000000006</v>
      </c>
      <c r="AE176" s="135">
        <v>0.81</v>
      </c>
      <c r="AF176" s="160">
        <v>525</v>
      </c>
      <c r="AG176" s="135">
        <f>(1/3-0.21*(MIN(Table1123457[[#This Row],[b (mm)]],AA176)/MAX(Table1123457[[#This Row],[b (mm)]],AA176))*(MIN(Table1123457[[#This Row],[b (mm)]],AA176)^4/(12*MAX(Table1123457[[#This Row],[b (mm)]],AA176)^4)))*MAX(Table1123457[[#This Row],[b (mm)]],AA176)*MIN(Table1123457[[#This Row],[b (mm)]],AA176)^3</f>
        <v>97240385.37338239</v>
      </c>
      <c r="AH176" s="135">
        <f>Table1123457[[#This Row],[b (mm)]]*AA176^3/12</f>
        <v>243293166.66666666</v>
      </c>
      <c r="AI176" s="111">
        <v>1470</v>
      </c>
      <c r="AK176" s="107"/>
    </row>
    <row r="177" spans="1:37" x14ac:dyDescent="0.25">
      <c r="A177" s="263" t="s">
        <v>168</v>
      </c>
      <c r="B177" s="263">
        <v>1</v>
      </c>
      <c r="C177" s="185">
        <v>176</v>
      </c>
      <c r="D177" s="185">
        <f>Table1123457[[#This Row],[a (mm)]]/Table1123457[[#This Row],[d (mm)]]</f>
        <v>2.8928571428571428</v>
      </c>
      <c r="E177" s="264">
        <v>20.100000000000001</v>
      </c>
      <c r="F177" s="137">
        <f>Table1123457[[#This Row],[d (mm)]]</f>
        <v>280</v>
      </c>
      <c r="G177" s="135">
        <f t="shared" si="24"/>
        <v>16281.000000000002</v>
      </c>
      <c r="H177" s="135">
        <f t="shared" si="25"/>
        <v>2.0410550961346994E-6</v>
      </c>
      <c r="I177" s="135">
        <f>G177/(Table1123457[[#This Row],[b (mm)]]*Z177^2)</f>
        <v>1.7021788223486117E-3</v>
      </c>
      <c r="J177" s="135">
        <f t="shared" si="26"/>
        <v>0.3528288788389401</v>
      </c>
      <c r="K177" s="135">
        <f t="shared" si="27"/>
        <v>3.4132003160472776E-6</v>
      </c>
      <c r="L177" s="135">
        <f>E177/(Table1123457[[#This Row],[b (mm)]]*Z177)</f>
        <v>5.8840749414519914E-4</v>
      </c>
      <c r="M177" s="135">
        <f>Table1123457[[#This Row],[M (KN.mm)]]/(Table1123457[[#This Row],[b (mm)]]*Table1123457[[#This Row],[d (mm)]])</f>
        <v>0.47661007025761132</v>
      </c>
      <c r="N177" s="135">
        <f>Table1123457[[#This Row],[M (KN.mm)]]/(Table1123457[[#This Row],[b (mm)]]*Table1123457[[#This Row],[h (mm)]])</f>
        <v>0.43048651507139085</v>
      </c>
      <c r="O177" s="145">
        <f>Table1123457[[#This Row],[M (KN.mm)]]/(Table1123457[[#This Row],[b (mm)]]*Table1123457[[#This Row],[h (mm)]]*Table1123457[[#This Row],[L(mm)]])</f>
        <v>2.6573241671073511E-4</v>
      </c>
      <c r="P177" s="145">
        <f>Table1123457[[#This Row],[M (KN.mm)]]/(Table1123457[[#This Row],[b (mm)]]*Table1123457[[#This Row],[d (mm)]]*Table1123457[[#This Row],[L(mm)]])</f>
        <v>2.9420374707259957E-4</v>
      </c>
      <c r="Q177" s="145">
        <f>Table1123457[[#This Row],[M (KN.mm)]]/(Table1123457[[#This Row],[b (mm)]]*Table1123457[[#This Row],[h (mm)]]*Table1123457[[#This Row],[L(mm)]]*Table1123457[[#This Row],[fc (Mpa)]])</f>
        <v>3.4376768009150724E-6</v>
      </c>
      <c r="R177" s="145">
        <f>Table1123457[[#This Row],[M (KN.mm)]]/(Table1123457[[#This Row],[b (mm)]]*Table1123457[[#This Row],[h (mm)]]*Table1123457[[#This Row],[L(mm)]]/2)</f>
        <v>5.3146483342147023E-4</v>
      </c>
      <c r="S177" s="145">
        <f>Table1123457[[#This Row],[M (KN.mm)]]/(Table1123457[[#This Row],[a (mm)]]*Table1123457[[#This Row],[b (mm)]]*Table1123457[[#This Row],[h (mm)]]*Table1123457[[#This Row],[L(mm)]]/2)</f>
        <v>6.5612942397712372E-7</v>
      </c>
      <c r="T177" s="111">
        <f>G177/($AL$5*AH177*0.001*Table1123457[[#This Row],[pho (%)]])</f>
        <v>2.4591025254634931E-6</v>
      </c>
      <c r="U177" s="145">
        <f>Table1123457[[#This Row],[M (KN.mm)]]/(Table1123457[[#This Row],[b (mm)]]*Table1123457[[#This Row],[d (mm)]]*Table1123457[[#This Row],[pho (%)]])</f>
        <v>0.57422900031037505</v>
      </c>
      <c r="V177" s="145">
        <f>E177*224.8/(2*SQRT(Table1123457[[#This Row],[fc (Mpa)]]*145.037)*Table1123457[[#This Row],[b (mm)]]*Table1123457[[#This Row],[d (mm)]]*(1/25.4)^2)</f>
        <v>0.40297934708879196</v>
      </c>
      <c r="W177" s="145">
        <f>Table1123457[[#This Row],[M (KN.mm)]]/$G$185</f>
        <v>0.26835781041388518</v>
      </c>
      <c r="X177" s="111">
        <f t="shared" si="23"/>
        <v>0.40297934708879196</v>
      </c>
      <c r="Y177" s="111">
        <v>810</v>
      </c>
      <c r="Z177" s="111">
        <v>280</v>
      </c>
      <c r="AA177" s="111">
        <v>310</v>
      </c>
      <c r="AB177" s="111">
        <v>122</v>
      </c>
      <c r="AC177" s="7">
        <v>77.3</v>
      </c>
      <c r="AD177" s="135">
        <f>Table1123457[[#This Row],[pho (%)]]/100*Table1123457[[#This Row],[b (mm)]]*Table1123457[[#This Row],[h (mm)]]</f>
        <v>313.90600000000001</v>
      </c>
      <c r="AE177" s="135">
        <v>0.83</v>
      </c>
      <c r="AF177" s="160">
        <v>525</v>
      </c>
      <c r="AG177" s="135">
        <f>(1/3-0.21*(MIN(Table1123457[[#This Row],[b (mm)]],AA177)/MAX(Table1123457[[#This Row],[b (mm)]],AA177))*(MIN(Table1123457[[#This Row],[b (mm)]],AA177)^4/(12*MAX(Table1123457[[#This Row],[b (mm)]],AA177)^4)))*MAX(Table1123457[[#This Row],[b (mm)]],AA177)*MIN(Table1123457[[#This Row],[b (mm)]],AA177)^3</f>
        <v>187544629.45683298</v>
      </c>
      <c r="AH177" s="135">
        <f>Table1123457[[#This Row],[b (mm)]]*AA177^3/12</f>
        <v>302875166.66666669</v>
      </c>
      <c r="AI177" s="111">
        <v>1620</v>
      </c>
      <c r="AK177" s="107"/>
    </row>
    <row r="178" spans="1:37" x14ac:dyDescent="0.25">
      <c r="A178" s="263" t="s">
        <v>168</v>
      </c>
      <c r="B178" s="263">
        <v>2</v>
      </c>
      <c r="C178" s="185">
        <v>177</v>
      </c>
      <c r="D178" s="185">
        <f>Table1123457[[#This Row],[a (mm)]]/Table1123457[[#This Row],[d (mm)]]</f>
        <v>2.8928571428571428</v>
      </c>
      <c r="E178" s="264">
        <v>30.2</v>
      </c>
      <c r="F178" s="137">
        <f>Table1123457[[#This Row],[d (mm)]]</f>
        <v>280</v>
      </c>
      <c r="G178" s="135">
        <f t="shared" si="24"/>
        <v>24462</v>
      </c>
      <c r="H178" s="135">
        <f t="shared" si="25"/>
        <v>3.0666598956849711E-6</v>
      </c>
      <c r="I178" s="135">
        <f>G178/(Table1123457[[#This Row],[b (mm)]]*Z178^2)</f>
        <v>2.5575025092004016E-3</v>
      </c>
      <c r="J178" s="135">
        <f t="shared" si="26"/>
        <v>0.53012100203661638</v>
      </c>
      <c r="K178" s="135">
        <f t="shared" si="27"/>
        <v>5.1282910221207847E-6</v>
      </c>
      <c r="L178" s="135">
        <f>E178/(Table1123457[[#This Row],[b (mm)]]*Z178)</f>
        <v>8.8407494145199058E-4</v>
      </c>
      <c r="M178" s="135">
        <f>Table1123457[[#This Row],[M (KN.mm)]]/(Table1123457[[#This Row],[b (mm)]]*Table1123457[[#This Row],[d (mm)]])</f>
        <v>0.71610070257611236</v>
      </c>
      <c r="N178" s="135">
        <f>Table1123457[[#This Row],[M (KN.mm)]]/(Table1123457[[#This Row],[b (mm)]]*Table1123457[[#This Row],[h (mm)]])</f>
        <v>0.64680063458487569</v>
      </c>
      <c r="O178" s="145">
        <f>Table1123457[[#This Row],[M (KN.mm)]]/(Table1123457[[#This Row],[b (mm)]]*Table1123457[[#This Row],[h (mm)]]*Table1123457[[#This Row],[L(mm)]])</f>
        <v>3.9925965097831835E-4</v>
      </c>
      <c r="P178" s="145">
        <f>Table1123457[[#This Row],[M (KN.mm)]]/(Table1123457[[#This Row],[b (mm)]]*Table1123457[[#This Row],[d (mm)]]*Table1123457[[#This Row],[L(mm)]])</f>
        <v>4.4203747072599534E-4</v>
      </c>
      <c r="Q178" s="145">
        <f>Table1123457[[#This Row],[M (KN.mm)]]/(Table1123457[[#This Row],[b (mm)]]*Table1123457[[#This Row],[h (mm)]]*Table1123457[[#This Row],[L(mm)]]*Table1123457[[#This Row],[fc (Mpa)]])</f>
        <v>5.1650666362007548E-6</v>
      </c>
      <c r="R178" s="145">
        <f>Table1123457[[#This Row],[M (KN.mm)]]/(Table1123457[[#This Row],[b (mm)]]*Table1123457[[#This Row],[h (mm)]]*Table1123457[[#This Row],[L(mm)]]/2)</f>
        <v>7.985193019566367E-4</v>
      </c>
      <c r="S178" s="145">
        <f>Table1123457[[#This Row],[M (KN.mm)]]/(Table1123457[[#This Row],[a (mm)]]*Table1123457[[#This Row],[b (mm)]]*Table1123457[[#This Row],[h (mm)]]*Table1123457[[#This Row],[L(mm)]]/2)</f>
        <v>9.8582629871189715E-7</v>
      </c>
      <c r="T178" s="111">
        <f>G178/($AL$5*AH178*0.001*Table1123457[[#This Row],[pho (%)]])</f>
        <v>3.6947709586565912E-6</v>
      </c>
      <c r="U178" s="145">
        <f>Table1123457[[#This Row],[M (KN.mm)]]/(Table1123457[[#This Row],[b (mm)]]*Table1123457[[#This Row],[d (mm)]]*Table1123457[[#This Row],[pho (%)]])</f>
        <v>0.86277193081459325</v>
      </c>
      <c r="V178" s="145">
        <f>E178*224.8/(2*SQRT(Table1123457[[#This Row],[fc (Mpa)]]*145.037)*Table1123457[[#This Row],[b (mm)]]*Table1123457[[#This Row],[d (mm)]]*(1/25.4)^2)</f>
        <v>0.60547145681997594</v>
      </c>
      <c r="W178" s="145">
        <f>Table1123457[[#This Row],[M (KN.mm)]]/$G$185</f>
        <v>0.40320427236315082</v>
      </c>
      <c r="X178" s="111">
        <f t="shared" si="23"/>
        <v>0.60547145681997594</v>
      </c>
      <c r="Y178" s="111">
        <v>810</v>
      </c>
      <c r="Z178" s="111">
        <v>280</v>
      </c>
      <c r="AA178" s="111">
        <v>310</v>
      </c>
      <c r="AB178" s="111">
        <v>122</v>
      </c>
      <c r="AC178" s="7">
        <v>77.3</v>
      </c>
      <c r="AD178" s="135">
        <f>Table1123457[[#This Row],[pho (%)]]/100*Table1123457[[#This Row],[b (mm)]]*Table1123457[[#This Row],[h (mm)]]</f>
        <v>313.90600000000001</v>
      </c>
      <c r="AE178" s="135">
        <v>0.83</v>
      </c>
      <c r="AF178" s="160">
        <v>525</v>
      </c>
      <c r="AG178" s="135">
        <f>(1/3-0.21*(MIN(Table1123457[[#This Row],[b (mm)]],AA178)/MAX(Table1123457[[#This Row],[b (mm)]],AA178))*(MIN(Table1123457[[#This Row],[b (mm)]],AA178)^4/(12*MAX(Table1123457[[#This Row],[b (mm)]],AA178)^4)))*MAX(Table1123457[[#This Row],[b (mm)]],AA178)*MIN(Table1123457[[#This Row],[b (mm)]],AA178)^3</f>
        <v>187544629.45683298</v>
      </c>
      <c r="AH178" s="135">
        <f>Table1123457[[#This Row],[b (mm)]]*AA178^3/12</f>
        <v>302875166.66666669</v>
      </c>
      <c r="AI178" s="111">
        <v>1620</v>
      </c>
      <c r="AK178" s="107"/>
    </row>
    <row r="179" spans="1:37" x14ac:dyDescent="0.25">
      <c r="A179" s="263" t="s">
        <v>168</v>
      </c>
      <c r="B179" s="263">
        <v>3</v>
      </c>
      <c r="C179" s="185">
        <v>178</v>
      </c>
      <c r="D179" s="185">
        <f>Table1123457[[#This Row],[a (mm)]]/Table1123457[[#This Row],[d (mm)]]</f>
        <v>2.8928571428571428</v>
      </c>
      <c r="E179" s="264">
        <v>34.6</v>
      </c>
      <c r="F179" s="137">
        <f>Table1123457[[#This Row],[d (mm)]]</f>
        <v>280</v>
      </c>
      <c r="G179" s="135">
        <f t="shared" si="24"/>
        <v>28026</v>
      </c>
      <c r="H179" s="135">
        <f t="shared" si="25"/>
        <v>3.5134580261821188E-6</v>
      </c>
      <c r="I179" s="135">
        <f>G179/(Table1123457[[#This Row],[b (mm)]]*Z179^2)</f>
        <v>2.930118768819003E-3</v>
      </c>
      <c r="J179" s="135">
        <f t="shared" si="26"/>
        <v>0.60735717451877247</v>
      </c>
      <c r="K179" s="135">
        <f t="shared" si="27"/>
        <v>5.8754592505092439E-6</v>
      </c>
      <c r="L179" s="135">
        <f>E179/(Table1123457[[#This Row],[b (mm)]]*Z179)</f>
        <v>1.0128805620608899E-3</v>
      </c>
      <c r="M179" s="135">
        <f>Table1123457[[#This Row],[M (KN.mm)]]/(Table1123457[[#This Row],[b (mm)]]*Table1123457[[#This Row],[d (mm)]])</f>
        <v>0.82043325526932087</v>
      </c>
      <c r="N179" s="135">
        <f>Table1123457[[#This Row],[M (KN.mm)]]/(Table1123457[[#This Row],[b (mm)]]*Table1123457[[#This Row],[h (mm)]])</f>
        <v>0.74103648863035432</v>
      </c>
      <c r="O179" s="145">
        <f>Table1123457[[#This Row],[M (KN.mm)]]/(Table1123457[[#This Row],[b (mm)]]*Table1123457[[#This Row],[h (mm)]]*Table1123457[[#This Row],[L(mm)]])</f>
        <v>4.5742993125330513E-4</v>
      </c>
      <c r="P179" s="145">
        <f>Table1123457[[#This Row],[M (KN.mm)]]/(Table1123457[[#This Row],[b (mm)]]*Table1123457[[#This Row],[d (mm)]]*Table1123457[[#This Row],[L(mm)]])</f>
        <v>5.0644028103044494E-4</v>
      </c>
      <c r="Q179" s="145">
        <f>Table1123457[[#This Row],[M (KN.mm)]]/(Table1123457[[#This Row],[b (mm)]]*Table1123457[[#This Row],[h (mm)]]*Table1123457[[#This Row],[L(mm)]]*Table1123457[[#This Row],[fc (Mpa)]])</f>
        <v>5.9175929010776859E-6</v>
      </c>
      <c r="R179" s="145">
        <f>Table1123457[[#This Row],[M (KN.mm)]]/(Table1123457[[#This Row],[b (mm)]]*Table1123457[[#This Row],[h (mm)]]*Table1123457[[#This Row],[L(mm)]]/2)</f>
        <v>9.1485986250661026E-4</v>
      </c>
      <c r="S179" s="145">
        <f>Table1123457[[#This Row],[M (KN.mm)]]/(Table1123457[[#This Row],[a (mm)]]*Table1123457[[#This Row],[b (mm)]]*Table1123457[[#This Row],[h (mm)]]*Table1123457[[#This Row],[L(mm)]]/2)</f>
        <v>1.1294566203785311E-6</v>
      </c>
      <c r="T179" s="111">
        <f>G179/($AL$5*AH179*0.001*Table1123457[[#This Row],[pho (%)]])</f>
        <v>4.2330819592555647E-6</v>
      </c>
      <c r="U179" s="145">
        <f>Table1123457[[#This Row],[M (KN.mm)]]/(Table1123457[[#This Row],[b (mm)]]*Table1123457[[#This Row],[d (mm)]]*Table1123457[[#This Row],[pho (%)]])</f>
        <v>0.9884738015293022</v>
      </c>
      <c r="V179" s="145">
        <f>E179*224.8/(2*SQRT(Table1123457[[#This Row],[fc (Mpa)]]*145.037)*Table1123457[[#This Row],[b (mm)]]*Table1123457[[#This Row],[d (mm)]]*(1/25.4)^2)</f>
        <v>0.69368584125732347</v>
      </c>
      <c r="W179" s="145">
        <f>Table1123457[[#This Row],[M (KN.mm)]]/$G$185</f>
        <v>0.46194926568758338</v>
      </c>
      <c r="X179" s="111">
        <f t="shared" si="23"/>
        <v>0.69368584125732347</v>
      </c>
      <c r="Y179" s="111">
        <v>810</v>
      </c>
      <c r="Z179" s="111">
        <v>280</v>
      </c>
      <c r="AA179" s="111">
        <v>310</v>
      </c>
      <c r="AB179" s="111">
        <v>122</v>
      </c>
      <c r="AC179" s="7">
        <v>77.3</v>
      </c>
      <c r="AD179" s="135">
        <f>Table1123457[[#This Row],[pho (%)]]/100*Table1123457[[#This Row],[b (mm)]]*Table1123457[[#This Row],[h (mm)]]</f>
        <v>313.90600000000001</v>
      </c>
      <c r="AE179" s="135">
        <v>0.83</v>
      </c>
      <c r="AF179" s="160">
        <v>525</v>
      </c>
      <c r="AG179" s="135">
        <f>(1/3-0.21*(MIN(Table1123457[[#This Row],[b (mm)]],AA179)/MAX(Table1123457[[#This Row],[b (mm)]],AA179))*(MIN(Table1123457[[#This Row],[b (mm)]],AA179)^4/(12*MAX(Table1123457[[#This Row],[b (mm)]],AA179)^4)))*MAX(Table1123457[[#This Row],[b (mm)]],AA179)*MIN(Table1123457[[#This Row],[b (mm)]],AA179)^3</f>
        <v>187544629.45683298</v>
      </c>
      <c r="AH179" s="135">
        <f>Table1123457[[#This Row],[b (mm)]]*AA179^3/12</f>
        <v>302875166.66666669</v>
      </c>
      <c r="AI179" s="111">
        <v>1620</v>
      </c>
      <c r="AK179" s="107"/>
    </row>
    <row r="180" spans="1:37" x14ac:dyDescent="0.25">
      <c r="A180" s="263" t="s">
        <v>168</v>
      </c>
      <c r="B180" s="263">
        <v>4</v>
      </c>
      <c r="C180" s="185">
        <v>179</v>
      </c>
      <c r="D180" s="185">
        <f>Table1123457[[#This Row],[a (mm)]]/Table1123457[[#This Row],[d (mm)]]</f>
        <v>2.8928571428571428</v>
      </c>
      <c r="E180" s="264">
        <v>37.200000000000003</v>
      </c>
      <c r="F180" s="137">
        <f>Table1123457[[#This Row],[d (mm)]]</f>
        <v>280</v>
      </c>
      <c r="G180" s="135">
        <f t="shared" si="24"/>
        <v>30132.000000000004</v>
      </c>
      <c r="H180" s="135">
        <f t="shared" si="25"/>
        <v>3.7774751032940706E-6</v>
      </c>
      <c r="I180" s="135">
        <f>G180/(Table1123457[[#This Row],[b (mm)]]*Z180^2)</f>
        <v>3.1503011040481771E-3</v>
      </c>
      <c r="J180" s="135">
        <f t="shared" si="26"/>
        <v>0.65299673098550115</v>
      </c>
      <c r="K180" s="135">
        <f t="shared" si="27"/>
        <v>6.3169677491024237E-6</v>
      </c>
      <c r="L180" s="135">
        <f>E180/(Table1123457[[#This Row],[b (mm)]]*Z180)</f>
        <v>1.088992974238876E-3</v>
      </c>
      <c r="M180" s="135">
        <f>Table1123457[[#This Row],[M (KN.mm)]]/(Table1123457[[#This Row],[b (mm)]]*Table1123457[[#This Row],[d (mm)]])</f>
        <v>0.88208430913348956</v>
      </c>
      <c r="N180" s="135">
        <f>Table1123457[[#This Row],[M (KN.mm)]]/(Table1123457[[#This Row],[b (mm)]]*Table1123457[[#This Row],[h (mm)]])</f>
        <v>0.79672131147540992</v>
      </c>
      <c r="O180" s="145">
        <f>Table1123457[[#This Row],[M (KN.mm)]]/(Table1123457[[#This Row],[b (mm)]]*Table1123457[[#This Row],[h (mm)]]*Table1123457[[#This Row],[L(mm)]])</f>
        <v>4.918032786885247E-4</v>
      </c>
      <c r="P180" s="145">
        <f>Table1123457[[#This Row],[M (KN.mm)]]/(Table1123457[[#This Row],[b (mm)]]*Table1123457[[#This Row],[d (mm)]]*Table1123457[[#This Row],[L(mm)]])</f>
        <v>5.4449648711943799E-4</v>
      </c>
      <c r="Q180" s="145">
        <f>Table1123457[[#This Row],[M (KN.mm)]]/(Table1123457[[#This Row],[b (mm)]]*Table1123457[[#This Row],[h (mm)]]*Table1123457[[#This Row],[L(mm)]]*Table1123457[[#This Row],[fc (Mpa)]])</f>
        <v>6.3622675121413282E-6</v>
      </c>
      <c r="R180" s="145">
        <f>Table1123457[[#This Row],[M (KN.mm)]]/(Table1123457[[#This Row],[b (mm)]]*Table1123457[[#This Row],[h (mm)]]*Table1123457[[#This Row],[L(mm)]]/2)</f>
        <v>9.836065573770494E-4</v>
      </c>
      <c r="S180" s="145">
        <f>Table1123457[[#This Row],[M (KN.mm)]]/(Table1123457[[#This Row],[a (mm)]]*Table1123457[[#This Row],[b (mm)]]*Table1123457[[#This Row],[h (mm)]]*Table1123457[[#This Row],[L(mm)]]/2)</f>
        <v>1.2143290831815424E-6</v>
      </c>
      <c r="T180" s="111">
        <f>G180/($AL$5*AH180*0.001*Table1123457[[#This Row],[pho (%)]])</f>
        <v>4.5511748232458678E-6</v>
      </c>
      <c r="U180" s="145">
        <f>Table1123457[[#This Row],[M (KN.mm)]]/(Table1123457[[#This Row],[b (mm)]]*Table1123457[[#This Row],[d (mm)]]*Table1123457[[#This Row],[pho (%)]])</f>
        <v>1.0627521796789032</v>
      </c>
      <c r="V180" s="145">
        <f>E180*224.8/(2*SQRT(Table1123457[[#This Row],[fc (Mpa)]]*145.037)*Table1123457[[#This Row],[b (mm)]]*Table1123457[[#This Row],[d (mm)]]*(1/25.4)^2)</f>
        <v>0.74581252297030165</v>
      </c>
      <c r="W180" s="145">
        <f>Table1123457[[#This Row],[M (KN.mm)]]/$G$185</f>
        <v>0.49666221628838453</v>
      </c>
      <c r="X180" s="111">
        <f t="shared" si="23"/>
        <v>0.74581252297030165</v>
      </c>
      <c r="Y180" s="111">
        <v>810</v>
      </c>
      <c r="Z180" s="111">
        <v>280</v>
      </c>
      <c r="AA180" s="111">
        <v>310</v>
      </c>
      <c r="AB180" s="111">
        <v>122</v>
      </c>
      <c r="AC180" s="7">
        <v>77.3</v>
      </c>
      <c r="AD180" s="135">
        <f>Table1123457[[#This Row],[pho (%)]]/100*Table1123457[[#This Row],[b (mm)]]*Table1123457[[#This Row],[h (mm)]]</f>
        <v>313.90600000000001</v>
      </c>
      <c r="AE180" s="135">
        <v>0.83</v>
      </c>
      <c r="AF180" s="160">
        <v>525</v>
      </c>
      <c r="AG180" s="135">
        <f>(1/3-0.21*(MIN(Table1123457[[#This Row],[b (mm)]],AA180)/MAX(Table1123457[[#This Row],[b (mm)]],AA180))*(MIN(Table1123457[[#This Row],[b (mm)]],AA180)^4/(12*MAX(Table1123457[[#This Row],[b (mm)]],AA180)^4)))*MAX(Table1123457[[#This Row],[b (mm)]],AA180)*MIN(Table1123457[[#This Row],[b (mm)]],AA180)^3</f>
        <v>187544629.45683298</v>
      </c>
      <c r="AH180" s="135">
        <f>Table1123457[[#This Row],[b (mm)]]*AA180^3/12</f>
        <v>302875166.66666669</v>
      </c>
      <c r="AI180" s="111">
        <v>1620</v>
      </c>
      <c r="AK180" s="107"/>
    </row>
    <row r="181" spans="1:37" x14ac:dyDescent="0.25">
      <c r="A181" s="263" t="s">
        <v>168</v>
      </c>
      <c r="B181" s="263">
        <v>5</v>
      </c>
      <c r="C181" s="185">
        <v>180</v>
      </c>
      <c r="D181" s="185">
        <f>Table1123457[[#This Row],[a (mm)]]/Table1123457[[#This Row],[d (mm)]]</f>
        <v>2.8928571428571428</v>
      </c>
      <c r="E181" s="264">
        <v>43</v>
      </c>
      <c r="F181" s="137">
        <f>Table1123457[[#This Row],[d (mm)]]</f>
        <v>280</v>
      </c>
      <c r="G181" s="135">
        <f t="shared" si="24"/>
        <v>34830</v>
      </c>
      <c r="H181" s="135">
        <f t="shared" si="25"/>
        <v>4.3664362753130378E-6</v>
      </c>
      <c r="I181" s="135">
        <f>G181/(Table1123457[[#This Row],[b (mm)]]*Z181^2)</f>
        <v>3.6414770826363333E-3</v>
      </c>
      <c r="J181" s="135">
        <f t="shared" si="26"/>
        <v>0.75480804925743405</v>
      </c>
      <c r="K181" s="135">
        <f t="shared" si="27"/>
        <v>7.3018713228872097E-6</v>
      </c>
      <c r="L181" s="135">
        <f>E181/(Table1123457[[#This Row],[b (mm)]]*Z181)</f>
        <v>1.2587822014051523E-3</v>
      </c>
      <c r="M181" s="135">
        <f>Table1123457[[#This Row],[M (KN.mm)]]/(Table1123457[[#This Row],[b (mm)]]*Table1123457[[#This Row],[d (mm)]])</f>
        <v>1.0196135831381734</v>
      </c>
      <c r="N181" s="135">
        <f>Table1123457[[#This Row],[M (KN.mm)]]/(Table1123457[[#This Row],[b (mm)]]*Table1123457[[#This Row],[h (mm)]])</f>
        <v>0.92094130089899529</v>
      </c>
      <c r="O181" s="145">
        <f>Table1123457[[#This Row],[M (KN.mm)]]/(Table1123457[[#This Row],[b (mm)]]*Table1123457[[#This Row],[h (mm)]]*Table1123457[[#This Row],[L(mm)]])</f>
        <v>5.6848228450555262E-4</v>
      </c>
      <c r="P181" s="145">
        <f>Table1123457[[#This Row],[M (KN.mm)]]/(Table1123457[[#This Row],[b (mm)]]*Table1123457[[#This Row],[d (mm)]]*Table1123457[[#This Row],[L(mm)]])</f>
        <v>6.2939110070257614E-4</v>
      </c>
      <c r="Q181" s="145">
        <f>Table1123457[[#This Row],[M (KN.mm)]]/(Table1123457[[#This Row],[b (mm)]]*Table1123457[[#This Row],[h (mm)]]*Table1123457[[#This Row],[L(mm)]]*Table1123457[[#This Row],[fc (Mpa)]])</f>
        <v>7.354233952206373E-6</v>
      </c>
      <c r="R181" s="145">
        <f>Table1123457[[#This Row],[M (KN.mm)]]/(Table1123457[[#This Row],[b (mm)]]*Table1123457[[#This Row],[h (mm)]]*Table1123457[[#This Row],[L(mm)]]/2)</f>
        <v>1.1369645690111052E-3</v>
      </c>
      <c r="S181" s="145">
        <f>Table1123457[[#This Row],[M (KN.mm)]]/(Table1123457[[#This Row],[a (mm)]]*Table1123457[[#This Row],[b (mm)]]*Table1123457[[#This Row],[h (mm)]]*Table1123457[[#This Row],[L(mm)]]/2)</f>
        <v>1.4036599617421052E-6</v>
      </c>
      <c r="T181" s="111">
        <f>G181/($AL$5*AH181*0.001*Table1123457[[#This Row],[pho (%)]])</f>
        <v>5.2607665967626965E-6</v>
      </c>
      <c r="U181" s="145">
        <f>Table1123457[[#This Row],[M (KN.mm)]]/(Table1123457[[#This Row],[b (mm)]]*Table1123457[[#This Row],[d (mm)]]*Table1123457[[#This Row],[pho (%)]])</f>
        <v>1.2284501001664738</v>
      </c>
      <c r="V181" s="145">
        <f>E181*224.8/(2*SQRT(Table1123457[[#This Row],[fc (Mpa)]]*145.037)*Table1123457[[#This Row],[b (mm)]]*Table1123457[[#This Row],[d (mm)]]*(1/25.4)^2)</f>
        <v>0.8620951206377141</v>
      </c>
      <c r="W181" s="145">
        <f>Table1123457[[#This Row],[M (KN.mm)]]/$G$185</f>
        <v>0.57409879839786371</v>
      </c>
      <c r="X181" s="111">
        <f t="shared" si="23"/>
        <v>0.8620951206377141</v>
      </c>
      <c r="Y181" s="111">
        <v>810</v>
      </c>
      <c r="Z181" s="111">
        <v>280</v>
      </c>
      <c r="AA181" s="111">
        <v>310</v>
      </c>
      <c r="AB181" s="111">
        <v>122</v>
      </c>
      <c r="AC181" s="7">
        <v>77.3</v>
      </c>
      <c r="AD181" s="135">
        <f>Table1123457[[#This Row],[pho (%)]]/100*Table1123457[[#This Row],[b (mm)]]*Table1123457[[#This Row],[h (mm)]]</f>
        <v>313.90600000000001</v>
      </c>
      <c r="AE181" s="135">
        <v>0.83</v>
      </c>
      <c r="AF181" s="160">
        <v>525</v>
      </c>
      <c r="AG181" s="135">
        <f>(1/3-0.21*(MIN(Table1123457[[#This Row],[b (mm)]],AA181)/MAX(Table1123457[[#This Row],[b (mm)]],AA181))*(MIN(Table1123457[[#This Row],[b (mm)]],AA181)^4/(12*MAX(Table1123457[[#This Row],[b (mm)]],AA181)^4)))*MAX(Table1123457[[#This Row],[b (mm)]],AA181)*MIN(Table1123457[[#This Row],[b (mm)]],AA181)^3</f>
        <v>187544629.45683298</v>
      </c>
      <c r="AH181" s="135">
        <f>Table1123457[[#This Row],[b (mm)]]*AA181^3/12</f>
        <v>302875166.66666669</v>
      </c>
      <c r="AI181" s="111">
        <v>1620</v>
      </c>
      <c r="AK181" s="107"/>
    </row>
    <row r="182" spans="1:37" x14ac:dyDescent="0.25">
      <c r="A182" s="263" t="s">
        <v>168</v>
      </c>
      <c r="B182" s="263">
        <v>6</v>
      </c>
      <c r="C182" s="185">
        <v>181</v>
      </c>
      <c r="D182" s="185">
        <f>Table1123457[[#This Row],[a (mm)]]/Table1123457[[#This Row],[d (mm)]]</f>
        <v>2.8928571428571428</v>
      </c>
      <c r="E182" s="264">
        <v>53</v>
      </c>
      <c r="F182" s="137">
        <f>Table1123457[[#This Row],[d (mm)]]</f>
        <v>280</v>
      </c>
      <c r="G182" s="135">
        <f t="shared" si="24"/>
        <v>42930</v>
      </c>
      <c r="H182" s="135">
        <f t="shared" si="25"/>
        <v>5.3818865718974651E-6</v>
      </c>
      <c r="I182" s="135">
        <f>G182/(Table1123457[[#This Row],[b (mm)]]*Z182^2)</f>
        <v>4.488332218133155E-3</v>
      </c>
      <c r="J182" s="135">
        <f t="shared" si="26"/>
        <v>0.93034480489869775</v>
      </c>
      <c r="K182" s="135">
        <f t="shared" si="27"/>
        <v>8.9999809328609803E-6</v>
      </c>
      <c r="L182" s="135">
        <f>E182/(Table1123457[[#This Row],[b (mm)]]*Z182)</f>
        <v>1.5515222482435597E-3</v>
      </c>
      <c r="M182" s="135">
        <f>Table1123457[[#This Row],[M (KN.mm)]]/(Table1123457[[#This Row],[b (mm)]]*Table1123457[[#This Row],[d (mm)]])</f>
        <v>1.2567330210772834</v>
      </c>
      <c r="N182" s="135">
        <f>Table1123457[[#This Row],[M (KN.mm)]]/(Table1123457[[#This Row],[b (mm)]]*Table1123457[[#This Row],[h (mm)]])</f>
        <v>1.1351136964569011</v>
      </c>
      <c r="O182" s="145">
        <f>Table1123457[[#This Row],[M (KN.mm)]]/(Table1123457[[#This Row],[b (mm)]]*Table1123457[[#This Row],[h (mm)]]*Table1123457[[#This Row],[L(mm)]])</f>
        <v>7.0068746694870439E-4</v>
      </c>
      <c r="P182" s="145">
        <f>Table1123457[[#This Row],[M (KN.mm)]]/(Table1123457[[#This Row],[b (mm)]]*Table1123457[[#This Row],[d (mm)]]*Table1123457[[#This Row],[L(mm)]])</f>
        <v>7.7576112412177983E-4</v>
      </c>
      <c r="Q182" s="145">
        <f>Table1123457[[#This Row],[M (KN.mm)]]/(Table1123457[[#This Row],[b (mm)]]*Table1123457[[#This Row],[h (mm)]]*Table1123457[[#This Row],[L(mm)]]*Table1123457[[#This Row],[fc (Mpa)]])</f>
        <v>9.0645209178357612E-6</v>
      </c>
      <c r="R182" s="145">
        <f>Table1123457[[#This Row],[M (KN.mm)]]/(Table1123457[[#This Row],[b (mm)]]*Table1123457[[#This Row],[h (mm)]]*Table1123457[[#This Row],[L(mm)]]/2)</f>
        <v>1.4013749338974088E-3</v>
      </c>
      <c r="S182" s="145">
        <f>Table1123457[[#This Row],[M (KN.mm)]]/(Table1123457[[#This Row],[a (mm)]]*Table1123457[[#This Row],[b (mm)]]*Table1123457[[#This Row],[h (mm)]]*Table1123457[[#This Row],[L(mm)]]/2)</f>
        <v>1.7300925109844553E-6</v>
      </c>
      <c r="T182" s="111">
        <f>G182/($AL$5*AH182*0.001*Table1123457[[#This Row],[pho (%)]])</f>
        <v>6.484200689033091E-6</v>
      </c>
      <c r="U182" s="145">
        <f>Table1123457[[#This Row],[M (KN.mm)]]/(Table1123457[[#This Row],[b (mm)]]*Table1123457[[#This Row],[d (mm)]]*Table1123457[[#This Row],[pho (%)]])</f>
        <v>1.5141361699726306</v>
      </c>
      <c r="V182" s="145">
        <f>E182*224.8/(2*SQRT(Table1123457[[#This Row],[fc (Mpa)]]*145.037)*Table1123457[[#This Row],[b (mm)]]*Table1123457[[#This Row],[d (mm)]]*(1/25.4)^2)</f>
        <v>1.0625823579953222</v>
      </c>
      <c r="W182" s="145">
        <f>Table1123457[[#This Row],[M (KN.mm)]]/$G$185</f>
        <v>0.70761014686248325</v>
      </c>
      <c r="X182" s="111">
        <f t="shared" si="23"/>
        <v>1.0625823579953222</v>
      </c>
      <c r="Y182" s="111">
        <v>810</v>
      </c>
      <c r="Z182" s="111">
        <v>280</v>
      </c>
      <c r="AA182" s="111">
        <v>310</v>
      </c>
      <c r="AB182" s="111">
        <v>122</v>
      </c>
      <c r="AC182" s="7">
        <v>77.3</v>
      </c>
      <c r="AD182" s="135">
        <f>Table1123457[[#This Row],[pho (%)]]/100*Table1123457[[#This Row],[b (mm)]]*Table1123457[[#This Row],[h (mm)]]</f>
        <v>313.90600000000001</v>
      </c>
      <c r="AE182" s="135">
        <v>0.83</v>
      </c>
      <c r="AF182" s="160">
        <v>525</v>
      </c>
      <c r="AG182" s="135">
        <f>(1/3-0.21*(MIN(Table1123457[[#This Row],[b (mm)]],AA182)/MAX(Table1123457[[#This Row],[b (mm)]],AA182))*(MIN(Table1123457[[#This Row],[b (mm)]],AA182)^4/(12*MAX(Table1123457[[#This Row],[b (mm)]],AA182)^4)))*MAX(Table1123457[[#This Row],[b (mm)]],AA182)*MIN(Table1123457[[#This Row],[b (mm)]],AA182)^3</f>
        <v>187544629.45683298</v>
      </c>
      <c r="AH182" s="135">
        <f>Table1123457[[#This Row],[b (mm)]]*AA182^3/12</f>
        <v>302875166.66666669</v>
      </c>
      <c r="AI182" s="111">
        <v>1620</v>
      </c>
      <c r="AK182" s="107"/>
    </row>
    <row r="183" spans="1:37" x14ac:dyDescent="0.25">
      <c r="A183" s="263" t="s">
        <v>168</v>
      </c>
      <c r="B183" s="263">
        <v>7</v>
      </c>
      <c r="C183" s="185">
        <v>182</v>
      </c>
      <c r="D183" s="185">
        <f>Table1123457[[#This Row],[a (mm)]]/Table1123457[[#This Row],[d (mm)]]</f>
        <v>2.8928571428571428</v>
      </c>
      <c r="E183" s="264">
        <v>63</v>
      </c>
      <c r="F183" s="137">
        <f>Table1123457[[#This Row],[d (mm)]]</f>
        <v>280</v>
      </c>
      <c r="G183" s="135">
        <f t="shared" si="24"/>
        <v>51030</v>
      </c>
      <c r="H183" s="135">
        <f t="shared" si="25"/>
        <v>6.3973368684818932E-6</v>
      </c>
      <c r="I183" s="135">
        <f>G183/(Table1123457[[#This Row],[b (mm)]]*Z183^2)</f>
        <v>5.3351873536299768E-3</v>
      </c>
      <c r="J183" s="135">
        <f t="shared" si="26"/>
        <v>1.1058815605399615</v>
      </c>
      <c r="K183" s="135">
        <f t="shared" si="27"/>
        <v>1.069809054283475E-5</v>
      </c>
      <c r="L183" s="135">
        <f>E183/(Table1123457[[#This Row],[b (mm)]]*Z183)</f>
        <v>1.8442622950819673E-3</v>
      </c>
      <c r="M183" s="135">
        <f>Table1123457[[#This Row],[M (KN.mm)]]/(Table1123457[[#This Row],[b (mm)]]*Table1123457[[#This Row],[d (mm)]])</f>
        <v>1.4938524590163935</v>
      </c>
      <c r="N183" s="135">
        <f>Table1123457[[#This Row],[M (KN.mm)]]/(Table1123457[[#This Row],[b (mm)]]*Table1123457[[#This Row],[h (mm)]])</f>
        <v>1.3492860920148069</v>
      </c>
      <c r="O183" s="145">
        <f>Table1123457[[#This Row],[M (KN.mm)]]/(Table1123457[[#This Row],[b (mm)]]*Table1123457[[#This Row],[h (mm)]]*Table1123457[[#This Row],[L(mm)]])</f>
        <v>8.3289264939185616E-4</v>
      </c>
      <c r="P183" s="145">
        <f>Table1123457[[#This Row],[M (KN.mm)]]/(Table1123457[[#This Row],[b (mm)]]*Table1123457[[#This Row],[d (mm)]]*Table1123457[[#This Row],[L(mm)]])</f>
        <v>9.2213114754098363E-4</v>
      </c>
      <c r="Q183" s="145">
        <f>Table1123457[[#This Row],[M (KN.mm)]]/(Table1123457[[#This Row],[b (mm)]]*Table1123457[[#This Row],[h (mm)]]*Table1123457[[#This Row],[L(mm)]]*Table1123457[[#This Row],[fc (Mpa)]])</f>
        <v>1.077480788346515E-5</v>
      </c>
      <c r="R183" s="145">
        <f>Table1123457[[#This Row],[M (KN.mm)]]/(Table1123457[[#This Row],[b (mm)]]*Table1123457[[#This Row],[h (mm)]]*Table1123457[[#This Row],[L(mm)]]/2)</f>
        <v>1.6657852987837123E-3</v>
      </c>
      <c r="S183" s="145">
        <f>Table1123457[[#This Row],[M (KN.mm)]]/(Table1123457[[#This Row],[a (mm)]]*Table1123457[[#This Row],[b (mm)]]*Table1123457[[#This Row],[h (mm)]]*Table1123457[[#This Row],[L(mm)]]/2)</f>
        <v>2.0565250602268053E-6</v>
      </c>
      <c r="T183" s="111">
        <f>G183/($AL$5*AH183*0.001*Table1123457[[#This Row],[pho (%)]])</f>
        <v>7.7076347813034855E-6</v>
      </c>
      <c r="U183" s="145">
        <f>Table1123457[[#This Row],[M (KN.mm)]]/(Table1123457[[#This Row],[b (mm)]]*Table1123457[[#This Row],[d (mm)]]*Table1123457[[#This Row],[pho (%)]])</f>
        <v>1.7998222397787873</v>
      </c>
      <c r="V183" s="145">
        <f>E183*224.8/(2*SQRT(Table1123457[[#This Row],[fc (Mpa)]]*145.037)*Table1123457[[#This Row],[b (mm)]]*Table1123457[[#This Row],[d (mm)]]*(1/25.4)^2)</f>
        <v>1.2630695953529301</v>
      </c>
      <c r="W183" s="145">
        <f>Table1123457[[#This Row],[M (KN.mm)]]/$G$185</f>
        <v>0.84112149532710268</v>
      </c>
      <c r="X183" s="111">
        <f t="shared" si="23"/>
        <v>1.2630695953529301</v>
      </c>
      <c r="Y183" s="111">
        <v>810</v>
      </c>
      <c r="Z183" s="111">
        <v>280</v>
      </c>
      <c r="AA183" s="111">
        <v>310</v>
      </c>
      <c r="AB183" s="111">
        <v>122</v>
      </c>
      <c r="AC183" s="7">
        <v>77.3</v>
      </c>
      <c r="AD183" s="135">
        <f>Table1123457[[#This Row],[pho (%)]]/100*Table1123457[[#This Row],[b (mm)]]*Table1123457[[#This Row],[h (mm)]]</f>
        <v>313.90600000000001</v>
      </c>
      <c r="AE183" s="135">
        <v>0.83</v>
      </c>
      <c r="AF183" s="160">
        <v>525</v>
      </c>
      <c r="AG183" s="135">
        <f>(1/3-0.21*(MIN(Table1123457[[#This Row],[b (mm)]],AA183)/MAX(Table1123457[[#This Row],[b (mm)]],AA183))*(MIN(Table1123457[[#This Row],[b (mm)]],AA183)^4/(12*MAX(Table1123457[[#This Row],[b (mm)]],AA183)^4)))*MAX(Table1123457[[#This Row],[b (mm)]],AA183)*MIN(Table1123457[[#This Row],[b (mm)]],AA183)^3</f>
        <v>187544629.45683298</v>
      </c>
      <c r="AH183" s="135">
        <f>Table1123457[[#This Row],[b (mm)]]*AA183^3/12</f>
        <v>302875166.66666669</v>
      </c>
      <c r="AI183" s="111">
        <v>1620</v>
      </c>
      <c r="AK183" s="107"/>
    </row>
    <row r="184" spans="1:37" x14ac:dyDescent="0.25">
      <c r="A184" s="263" t="s">
        <v>168</v>
      </c>
      <c r="B184" s="263">
        <v>8</v>
      </c>
      <c r="C184" s="185">
        <v>183</v>
      </c>
      <c r="D184" s="185">
        <f>Table1123457[[#This Row],[a (mm)]]/Table1123457[[#This Row],[d (mm)]]</f>
        <v>2.8928571428571428</v>
      </c>
      <c r="E184" s="264">
        <v>74.099999999999994</v>
      </c>
      <c r="F184" s="137">
        <f>Table1123457[[#This Row],[d (mm)]]</f>
        <v>280</v>
      </c>
      <c r="G184" s="135">
        <f t="shared" si="24"/>
        <v>60020.999999999993</v>
      </c>
      <c r="H184" s="135">
        <f t="shared" si="25"/>
        <v>7.5244866976906063E-6</v>
      </c>
      <c r="I184" s="135">
        <f>G184/(Table1123457[[#This Row],[b (mm)]]*Z184^2)</f>
        <v>6.2751965540314477E-3</v>
      </c>
      <c r="J184" s="135">
        <f t="shared" si="26"/>
        <v>1.3007273593017641</v>
      </c>
      <c r="K184" s="135">
        <f t="shared" si="27"/>
        <v>1.2582992209905633E-5</v>
      </c>
      <c r="L184" s="135">
        <f>E184/(Table1123457[[#This Row],[b (mm)]]*Z184)</f>
        <v>2.1692037470725993E-3</v>
      </c>
      <c r="M184" s="135">
        <f>Table1123457[[#This Row],[M (KN.mm)]]/(Table1123457[[#This Row],[b (mm)]]*Table1123457[[#This Row],[d (mm)]])</f>
        <v>1.7570550351288055</v>
      </c>
      <c r="N184" s="135">
        <f>Table1123457[[#This Row],[M (KN.mm)]]/(Table1123457[[#This Row],[b (mm)]]*Table1123457[[#This Row],[h (mm)]])</f>
        <v>1.5870174510840822</v>
      </c>
      <c r="O184" s="145">
        <f>Table1123457[[#This Row],[M (KN.mm)]]/(Table1123457[[#This Row],[b (mm)]]*Table1123457[[#This Row],[h (mm)]]*Table1123457[[#This Row],[L(mm)]])</f>
        <v>9.7964040190375457E-4</v>
      </c>
      <c r="P184" s="145">
        <f>Table1123457[[#This Row],[M (KN.mm)]]/(Table1123457[[#This Row],[b (mm)]]*Table1123457[[#This Row],[d (mm)]]*Table1123457[[#This Row],[L(mm)]])</f>
        <v>1.0846018735362996E-3</v>
      </c>
      <c r="Q184" s="145">
        <f>Table1123457[[#This Row],[M (KN.mm)]]/(Table1123457[[#This Row],[b (mm)]]*Table1123457[[#This Row],[h (mm)]]*Table1123457[[#This Row],[L(mm)]]*Table1123457[[#This Row],[fc (Mpa)]])</f>
        <v>1.2673226415313771E-5</v>
      </c>
      <c r="R184" s="145">
        <f>Table1123457[[#This Row],[M (KN.mm)]]/(Table1123457[[#This Row],[b (mm)]]*Table1123457[[#This Row],[h (mm)]]*Table1123457[[#This Row],[L(mm)]]/2)</f>
        <v>1.9592808038075091E-3</v>
      </c>
      <c r="S184" s="145">
        <f>Table1123457[[#This Row],[M (KN.mm)]]/(Table1123457[[#This Row],[a (mm)]]*Table1123457[[#This Row],[b (mm)]]*Table1123457[[#This Row],[h (mm)]]*Table1123457[[#This Row],[L(mm)]]/2)</f>
        <v>2.4188651898858136E-6</v>
      </c>
      <c r="T184" s="111">
        <f>G184/($AL$5*AH184*0.001*Table1123457[[#This Row],[pho (%)]])</f>
        <v>9.0656466237236214E-6</v>
      </c>
      <c r="U184" s="145">
        <f>Table1123457[[#This Row],[M (KN.mm)]]/(Table1123457[[#This Row],[b (mm)]]*Table1123457[[#This Row],[d (mm)]]*Table1123457[[#This Row],[pho (%)]])</f>
        <v>2.116933777263621</v>
      </c>
      <c r="V184" s="145">
        <f>E184*224.8/(2*SQRT(Table1123457[[#This Row],[fc (Mpa)]]*145.037)*Table1123457[[#This Row],[b (mm)]]*Table1123457[[#This Row],[d (mm)]]*(1/25.4)^2)</f>
        <v>1.4856104288198748</v>
      </c>
      <c r="W184" s="145">
        <f>Table1123457[[#This Row],[M (KN.mm)]]/$G$185</f>
        <v>0.9893190921228302</v>
      </c>
      <c r="X184" s="111">
        <f t="shared" si="23"/>
        <v>1.4856104288198748</v>
      </c>
      <c r="Y184" s="111">
        <v>810</v>
      </c>
      <c r="Z184" s="111">
        <v>280</v>
      </c>
      <c r="AA184" s="111">
        <v>310</v>
      </c>
      <c r="AB184" s="111">
        <v>122</v>
      </c>
      <c r="AC184" s="7">
        <v>77.3</v>
      </c>
      <c r="AD184" s="135">
        <f>Table1123457[[#This Row],[pho (%)]]/100*Table1123457[[#This Row],[b (mm)]]*Table1123457[[#This Row],[h (mm)]]</f>
        <v>313.90600000000001</v>
      </c>
      <c r="AE184" s="135">
        <v>0.83</v>
      </c>
      <c r="AF184" s="160">
        <v>525</v>
      </c>
      <c r="AG184" s="135">
        <f>(1/3-0.21*(MIN(Table1123457[[#This Row],[b (mm)]],AA184)/MAX(Table1123457[[#This Row],[b (mm)]],AA184))*(MIN(Table1123457[[#This Row],[b (mm)]],AA184)^4/(12*MAX(Table1123457[[#This Row],[b (mm)]],AA184)^4)))*MAX(Table1123457[[#This Row],[b (mm)]],AA184)*MIN(Table1123457[[#This Row],[b (mm)]],AA184)^3</f>
        <v>187544629.45683298</v>
      </c>
      <c r="AH184" s="135">
        <f>Table1123457[[#This Row],[b (mm)]]*AA184^3/12</f>
        <v>302875166.66666669</v>
      </c>
      <c r="AI184" s="111">
        <v>1620</v>
      </c>
      <c r="AK184" s="107"/>
    </row>
    <row r="185" spans="1:37" x14ac:dyDescent="0.25">
      <c r="A185" s="263" t="s">
        <v>168</v>
      </c>
      <c r="B185" s="263" t="s">
        <v>141</v>
      </c>
      <c r="C185" s="185">
        <v>184</v>
      </c>
      <c r="D185" s="185">
        <f>Table1123457[[#This Row],[a (mm)]]/Table1123457[[#This Row],[d (mm)]]</f>
        <v>2.8928571428571428</v>
      </c>
      <c r="E185" s="264">
        <v>74.900000000000006</v>
      </c>
      <c r="F185" s="137">
        <f>Table1123457[[#This Row],[d (mm)]]</f>
        <v>280</v>
      </c>
      <c r="G185" s="135">
        <f t="shared" si="24"/>
        <v>60669.000000000007</v>
      </c>
      <c r="H185" s="135">
        <f t="shared" si="25"/>
        <v>7.6057227214173624E-6</v>
      </c>
      <c r="I185" s="135">
        <f>G185/(Table1123457[[#This Row],[b (mm)]]*Z185^2)</f>
        <v>6.3429449648711948E-3</v>
      </c>
      <c r="J185" s="135">
        <f t="shared" si="26"/>
        <v>1.3147702997530655</v>
      </c>
      <c r="K185" s="135">
        <f t="shared" si="27"/>
        <v>1.2718840978703537E-5</v>
      </c>
      <c r="L185" s="135">
        <f>E185/(Table1123457[[#This Row],[b (mm)]]*Z185)</f>
        <v>2.1926229508196721E-3</v>
      </c>
      <c r="M185" s="135">
        <f>Table1123457[[#This Row],[M (KN.mm)]]/(Table1123457[[#This Row],[b (mm)]]*Table1123457[[#This Row],[d (mm)]])</f>
        <v>1.7760245901639347</v>
      </c>
      <c r="N185" s="135">
        <f>Table1123457[[#This Row],[M (KN.mm)]]/(Table1123457[[#This Row],[b (mm)]]*Table1123457[[#This Row],[h (mm)]])</f>
        <v>1.6041512427287152</v>
      </c>
      <c r="O185" s="145">
        <f>Table1123457[[#This Row],[M (KN.mm)]]/(Table1123457[[#This Row],[b (mm)]]*Table1123457[[#This Row],[h (mm)]]*Table1123457[[#This Row],[L(mm)]])</f>
        <v>9.9021681649920693E-4</v>
      </c>
      <c r="P185" s="145">
        <f>Table1123457[[#This Row],[M (KN.mm)]]/(Table1123457[[#This Row],[b (mm)]]*Table1123457[[#This Row],[d (mm)]]*Table1123457[[#This Row],[L(mm)]])</f>
        <v>1.0963114754098363E-3</v>
      </c>
      <c r="Q185" s="145">
        <f>Table1123457[[#This Row],[M (KN.mm)]]/(Table1123457[[#This Row],[b (mm)]]*Table1123457[[#This Row],[h (mm)]]*Table1123457[[#This Row],[L(mm)]]*Table1123457[[#This Row],[fc (Mpa)]])</f>
        <v>1.2810049372564125E-5</v>
      </c>
      <c r="R185" s="145">
        <f>Table1123457[[#This Row],[M (KN.mm)]]/(Table1123457[[#This Row],[b (mm)]]*Table1123457[[#This Row],[h (mm)]]*Table1123457[[#This Row],[L(mm)]]/2)</f>
        <v>1.9804336329984139E-3</v>
      </c>
      <c r="S185" s="145">
        <f>Table1123457[[#This Row],[M (KN.mm)]]/(Table1123457[[#This Row],[a (mm)]]*Table1123457[[#This Row],[b (mm)]]*Table1123457[[#This Row],[h (mm)]]*Table1123457[[#This Row],[L(mm)]]/2)</f>
        <v>2.4449797938252021E-6</v>
      </c>
      <c r="T185" s="111">
        <f>G185/($AL$5*AH185*0.001*Table1123457[[#This Row],[pho (%)]])</f>
        <v>9.1635213511052553E-6</v>
      </c>
      <c r="U185" s="145">
        <f>Table1123457[[#This Row],[M (KN.mm)]]/(Table1123457[[#This Row],[b (mm)]]*Table1123457[[#This Row],[d (mm)]]*Table1123457[[#This Row],[pho (%)]])</f>
        <v>2.139788662848114</v>
      </c>
      <c r="V185" s="145">
        <f>E185*224.8/(2*SQRT(Table1123457[[#This Row],[fc (Mpa)]]*145.037)*Table1123457[[#This Row],[b (mm)]]*Table1123457[[#This Row],[d (mm)]]*(1/25.4)^2)</f>
        <v>1.5016494078084834</v>
      </c>
      <c r="W185" s="145">
        <f>Table1123457[[#This Row],[M (KN.mm)]]/$G$185</f>
        <v>1</v>
      </c>
      <c r="X185" s="111">
        <f t="shared" si="23"/>
        <v>1.5016494078084834</v>
      </c>
      <c r="Y185" s="111">
        <v>810</v>
      </c>
      <c r="Z185" s="111">
        <v>280</v>
      </c>
      <c r="AA185" s="111">
        <v>310</v>
      </c>
      <c r="AB185" s="111">
        <v>122</v>
      </c>
      <c r="AC185" s="7">
        <v>77.3</v>
      </c>
      <c r="AD185" s="135">
        <f>Table1123457[[#This Row],[pho (%)]]/100*Table1123457[[#This Row],[b (mm)]]*Table1123457[[#This Row],[h (mm)]]</f>
        <v>313.90600000000001</v>
      </c>
      <c r="AE185" s="135">
        <v>0.83</v>
      </c>
      <c r="AF185" s="160">
        <v>525</v>
      </c>
      <c r="AG185" s="135">
        <f>(1/3-0.21*(MIN(Table1123457[[#This Row],[b (mm)]],AA185)/MAX(Table1123457[[#This Row],[b (mm)]],AA185))*(MIN(Table1123457[[#This Row],[b (mm)]],AA185)^4/(12*MAX(Table1123457[[#This Row],[b (mm)]],AA185)^4)))*MAX(Table1123457[[#This Row],[b (mm)]],AA185)*MIN(Table1123457[[#This Row],[b (mm)]],AA185)^3</f>
        <v>187544629.45683298</v>
      </c>
      <c r="AH185" s="135">
        <f>Table1123457[[#This Row],[b (mm)]]*AA185^3/12</f>
        <v>302875166.66666669</v>
      </c>
      <c r="AI185" s="111">
        <v>1620</v>
      </c>
      <c r="AK185" s="107"/>
    </row>
    <row r="186" spans="1:37" x14ac:dyDescent="0.25">
      <c r="A186" s="265" t="s">
        <v>169</v>
      </c>
      <c r="B186" s="265">
        <v>1</v>
      </c>
      <c r="C186" s="185">
        <v>185</v>
      </c>
      <c r="D186" s="185">
        <f>Table1123457[[#This Row],[a (mm)]]/Table1123457[[#This Row],[d (mm)]]</f>
        <v>2.8928571428571428</v>
      </c>
      <c r="E186" s="266">
        <v>22.6</v>
      </c>
      <c r="F186" s="137">
        <f>Table1123457[[#This Row],[d (mm)]]</f>
        <v>280</v>
      </c>
      <c r="G186" s="135">
        <f t="shared" si="24"/>
        <v>18306</v>
      </c>
      <c r="H186" s="135">
        <f t="shared" si="25"/>
        <v>2.294917670280806E-6</v>
      </c>
      <c r="I186" s="135">
        <f>G186/(Table1123457[[#This Row],[b (mm)]]*Z186^2)</f>
        <v>1.9138926062228169E-3</v>
      </c>
      <c r="J186" s="135">
        <f t="shared" si="26"/>
        <v>0.24572525838200188</v>
      </c>
      <c r="K186" s="135">
        <f t="shared" si="27"/>
        <v>3.8377277185407201E-6</v>
      </c>
      <c r="L186" s="135">
        <f>E186/(Table1123457[[#This Row],[b (mm)]]*Z186)</f>
        <v>6.6159250585480099E-4</v>
      </c>
      <c r="M186" s="135">
        <f>Table1123457[[#This Row],[M (KN.mm)]]/(Table1123457[[#This Row],[b (mm)]]*Table1123457[[#This Row],[d (mm)]])</f>
        <v>0.5358899297423888</v>
      </c>
      <c r="N186" s="135">
        <f>Table1123457[[#This Row],[M (KN.mm)]]/(Table1123457[[#This Row],[b (mm)]]*Table1123457[[#This Row],[h (mm)]])</f>
        <v>0.48402961396086724</v>
      </c>
      <c r="O186" s="145">
        <f>Table1123457[[#This Row],[M (KN.mm)]]/(Table1123457[[#This Row],[b (mm)]]*Table1123457[[#This Row],[h (mm)]]*Table1123457[[#This Row],[L(mm)]])</f>
        <v>2.98783712321523E-4</v>
      </c>
      <c r="P186" s="145">
        <f>Table1123457[[#This Row],[M (KN.mm)]]/(Table1123457[[#This Row],[b (mm)]]*Table1123457[[#This Row],[d (mm)]]*Table1123457[[#This Row],[L(mm)]])</f>
        <v>3.307962529274005E-4</v>
      </c>
      <c r="Q186" s="145">
        <f>Table1123457[[#This Row],[M (KN.mm)]]/(Table1123457[[#This Row],[b (mm)]]*Table1123457[[#This Row],[h (mm)]]*Table1123457[[#This Row],[L(mm)]]*Table1123457[[#This Row],[fc (Mpa)]])</f>
        <v>3.8652485423224188E-6</v>
      </c>
      <c r="R186" s="145">
        <f>Table1123457[[#This Row],[M (KN.mm)]]/(Table1123457[[#This Row],[b (mm)]]*Table1123457[[#This Row],[h (mm)]]*Table1123457[[#This Row],[L(mm)]]/2)</f>
        <v>5.9756742464304601E-4</v>
      </c>
      <c r="S186" s="145">
        <f>Table1123457[[#This Row],[M (KN.mm)]]/(Table1123457[[#This Row],[a (mm)]]*Table1123457[[#This Row],[b (mm)]]*Table1123457[[#This Row],[h (mm)]]*Table1123457[[#This Row],[L(mm)]]/2)</f>
        <v>7.3773756128771108E-7</v>
      </c>
      <c r="T186" s="111">
        <f>G186/($AL$5*AH186*0.001*Table1123457[[#This Row],[pho (%)]])</f>
        <v>1.7126251270752285E-6</v>
      </c>
      <c r="U186" s="145">
        <f>Table1123457[[#This Row],[M (KN.mm)]]/(Table1123457[[#This Row],[b (mm)]]*Table1123457[[#This Row],[d (mm)]]*Table1123457[[#This Row],[pho (%)]])</f>
        <v>0.39991785801670804</v>
      </c>
      <c r="V186" s="145">
        <f>E186*224.8/(2*SQRT(Table1123457[[#This Row],[fc (Mpa)]]*145.037)*Table1123457[[#This Row],[b (mm)]]*Table1123457[[#This Row],[d (mm)]]*(1/25.4)^2)</f>
        <v>0.45310115642819399</v>
      </c>
      <c r="W186" s="145">
        <f>Table1123457[[#This Row],[M (KN.mm)]]/$G$194</f>
        <v>0.1712121212121212</v>
      </c>
      <c r="X186" s="111">
        <f t="shared" si="23"/>
        <v>0.45310115642819399</v>
      </c>
      <c r="Y186" s="111">
        <v>810</v>
      </c>
      <c r="Z186" s="111">
        <v>280</v>
      </c>
      <c r="AA186" s="111">
        <v>310</v>
      </c>
      <c r="AB186" s="111">
        <v>122</v>
      </c>
      <c r="AC186" s="7">
        <v>77.3</v>
      </c>
      <c r="AD186" s="135">
        <f>Table1123457[[#This Row],[pho (%)]]/100*Table1123457[[#This Row],[b (mm)]]*Table1123457[[#This Row],[h (mm)]]</f>
        <v>506.78800000000001</v>
      </c>
      <c r="AE186" s="135">
        <v>1.34</v>
      </c>
      <c r="AF186" s="160">
        <v>525</v>
      </c>
      <c r="AG186" s="135">
        <f>(1/3-0.21*(MIN(Table1123457[[#This Row],[b (mm)]],AA186)/MAX(Table1123457[[#This Row],[b (mm)]],AA186))*(MIN(Table1123457[[#This Row],[b (mm)]],AA186)^4/(12*MAX(Table1123457[[#This Row],[b (mm)]],AA186)^4)))*MAX(Table1123457[[#This Row],[b (mm)]],AA186)*MIN(Table1123457[[#This Row],[b (mm)]],AA186)^3</f>
        <v>187544629.45683298</v>
      </c>
      <c r="AH186" s="135">
        <f>Table1123457[[#This Row],[b (mm)]]*AA186^3/12</f>
        <v>302875166.66666669</v>
      </c>
      <c r="AI186" s="111">
        <v>1620</v>
      </c>
      <c r="AK186" s="107"/>
    </row>
    <row r="187" spans="1:37" x14ac:dyDescent="0.25">
      <c r="A187" s="265" t="s">
        <v>169</v>
      </c>
      <c r="B187" s="265">
        <v>2</v>
      </c>
      <c r="C187" s="185">
        <v>186</v>
      </c>
      <c r="D187" s="185">
        <f>Table1123457[[#This Row],[a (mm)]]/Table1123457[[#This Row],[d (mm)]]</f>
        <v>2.8928571428571428</v>
      </c>
      <c r="E187" s="266">
        <v>34.4</v>
      </c>
      <c r="F187" s="137">
        <f>Table1123457[[#This Row],[d (mm)]]</f>
        <v>280</v>
      </c>
      <c r="G187" s="135">
        <f t="shared" si="24"/>
        <v>27864</v>
      </c>
      <c r="H187" s="135">
        <f t="shared" si="25"/>
        <v>3.4931490202504304E-6</v>
      </c>
      <c r="I187" s="135">
        <f>G187/(Table1123457[[#This Row],[b (mm)]]*Z187^2)</f>
        <v>2.9131816661090667E-3</v>
      </c>
      <c r="J187" s="135">
        <f t="shared" si="26"/>
        <v>0.37402428709472851</v>
      </c>
      <c r="K187" s="135">
        <f t="shared" si="27"/>
        <v>5.8414970583097676E-6</v>
      </c>
      <c r="L187" s="135">
        <f>E187/(Table1123457[[#This Row],[b (mm)]]*Z187)</f>
        <v>1.0070257611241218E-3</v>
      </c>
      <c r="M187" s="135">
        <f>Table1123457[[#This Row],[M (KN.mm)]]/(Table1123457[[#This Row],[b (mm)]]*Table1123457[[#This Row],[d (mm)]])</f>
        <v>0.81569086651053868</v>
      </c>
      <c r="N187" s="135">
        <f>Table1123457[[#This Row],[M (KN.mm)]]/(Table1123457[[#This Row],[b (mm)]]*Table1123457[[#This Row],[h (mm)]])</f>
        <v>0.73675304071919623</v>
      </c>
      <c r="O187" s="145">
        <f>Table1123457[[#This Row],[M (KN.mm)]]/(Table1123457[[#This Row],[b (mm)]]*Table1123457[[#This Row],[h (mm)]]*Table1123457[[#This Row],[L(mm)]])</f>
        <v>4.5478582760444209E-4</v>
      </c>
      <c r="P187" s="145">
        <f>Table1123457[[#This Row],[M (KN.mm)]]/(Table1123457[[#This Row],[b (mm)]]*Table1123457[[#This Row],[d (mm)]]*Table1123457[[#This Row],[L(mm)]])</f>
        <v>5.0351288056206089E-4</v>
      </c>
      <c r="Q187" s="145">
        <f>Table1123457[[#This Row],[M (KN.mm)]]/(Table1123457[[#This Row],[b (mm)]]*Table1123457[[#This Row],[h (mm)]]*Table1123457[[#This Row],[L(mm)]]*Table1123457[[#This Row],[fc (Mpa)]])</f>
        <v>5.8833871617650984E-6</v>
      </c>
      <c r="R187" s="145">
        <f>Table1123457[[#This Row],[M (KN.mm)]]/(Table1123457[[#This Row],[b (mm)]]*Table1123457[[#This Row],[h (mm)]]*Table1123457[[#This Row],[L(mm)]]/2)</f>
        <v>9.0957165520888419E-4</v>
      </c>
      <c r="S187" s="145">
        <f>Table1123457[[#This Row],[M (KN.mm)]]/(Table1123457[[#This Row],[a (mm)]]*Table1123457[[#This Row],[b (mm)]]*Table1123457[[#This Row],[h (mm)]]*Table1123457[[#This Row],[L(mm)]]/2)</f>
        <v>1.1229279693936842E-6</v>
      </c>
      <c r="T187" s="111">
        <f>G187/($AL$5*AH187*0.001*Table1123457[[#This Row],[pho (%)]])</f>
        <v>2.6068276270525602E-6</v>
      </c>
      <c r="U187" s="145">
        <f>Table1123457[[#This Row],[M (KN.mm)]]/(Table1123457[[#This Row],[b (mm)]]*Table1123457[[#This Row],[d (mm)]]*Table1123457[[#This Row],[pho (%)]])</f>
        <v>0.60872452724667059</v>
      </c>
      <c r="V187" s="145">
        <f>E187*224.8/(2*SQRT(Table1123457[[#This Row],[fc (Mpa)]]*145.037)*Table1123457[[#This Row],[b (mm)]]*Table1123457[[#This Row],[d (mm)]]*(1/25.4)^2)</f>
        <v>0.68967609651017125</v>
      </c>
      <c r="W187" s="145">
        <f>Table1123457[[#This Row],[M (KN.mm)]]/$G$194</f>
        <v>0.26060606060606062</v>
      </c>
      <c r="X187" s="111">
        <f t="shared" si="23"/>
        <v>0.68967609651017125</v>
      </c>
      <c r="Y187" s="111">
        <v>810</v>
      </c>
      <c r="Z187" s="111">
        <v>280</v>
      </c>
      <c r="AA187" s="111">
        <v>310</v>
      </c>
      <c r="AB187" s="111">
        <v>122</v>
      </c>
      <c r="AC187" s="7">
        <v>77.3</v>
      </c>
      <c r="AD187" s="135">
        <f>Table1123457[[#This Row],[pho (%)]]/100*Table1123457[[#This Row],[b (mm)]]*Table1123457[[#This Row],[h (mm)]]</f>
        <v>506.78800000000001</v>
      </c>
      <c r="AE187" s="135">
        <v>1.34</v>
      </c>
      <c r="AF187" s="160">
        <v>525</v>
      </c>
      <c r="AG187" s="135">
        <f>(1/3-0.21*(MIN(Table1123457[[#This Row],[b (mm)]],AA187)/MAX(Table1123457[[#This Row],[b (mm)]],AA187))*(MIN(Table1123457[[#This Row],[b (mm)]],AA187)^4/(12*MAX(Table1123457[[#This Row],[b (mm)]],AA187)^4)))*MAX(Table1123457[[#This Row],[b (mm)]],AA187)*MIN(Table1123457[[#This Row],[b (mm)]],AA187)^3</f>
        <v>187544629.45683298</v>
      </c>
      <c r="AH187" s="135">
        <f>Table1123457[[#This Row],[b (mm)]]*AA187^3/12</f>
        <v>302875166.66666669</v>
      </c>
      <c r="AI187" s="111">
        <v>1620</v>
      </c>
      <c r="AK187" s="107"/>
    </row>
    <row r="188" spans="1:37" x14ac:dyDescent="0.25">
      <c r="A188" s="265" t="s">
        <v>169</v>
      </c>
      <c r="B188" s="265">
        <v>3</v>
      </c>
      <c r="C188" s="185">
        <v>187</v>
      </c>
      <c r="D188" s="185">
        <f>Table1123457[[#This Row],[a (mm)]]/Table1123457[[#This Row],[d (mm)]]</f>
        <v>2.8928571428571428</v>
      </c>
      <c r="E188" s="266">
        <v>54.4</v>
      </c>
      <c r="F188" s="137">
        <f>Table1123457[[#This Row],[d (mm)]]</f>
        <v>280</v>
      </c>
      <c r="G188" s="135">
        <f t="shared" si="24"/>
        <v>44064</v>
      </c>
      <c r="H188" s="135">
        <f t="shared" si="25"/>
        <v>5.524049613419285E-6</v>
      </c>
      <c r="I188" s="135">
        <f>G188/(Table1123457[[#This Row],[b (mm)]]*Z188^2)</f>
        <v>4.6068919371027098E-3</v>
      </c>
      <c r="J188" s="135">
        <f t="shared" si="26"/>
        <v>0.59148026796375675</v>
      </c>
      <c r="K188" s="135">
        <f t="shared" si="27"/>
        <v>9.2377162782573079E-6</v>
      </c>
      <c r="L188" s="135">
        <f>E188/(Table1123457[[#This Row],[b (mm)]]*Z188)</f>
        <v>1.5925058548009368E-3</v>
      </c>
      <c r="M188" s="135">
        <f>Table1123457[[#This Row],[M (KN.mm)]]/(Table1123457[[#This Row],[b (mm)]]*Table1123457[[#This Row],[d (mm)]])</f>
        <v>1.2899297423887588</v>
      </c>
      <c r="N188" s="135">
        <f>Table1123457[[#This Row],[M (KN.mm)]]/(Table1123457[[#This Row],[b (mm)]]*Table1123457[[#This Row],[h (mm)]])</f>
        <v>1.165097831835008</v>
      </c>
      <c r="O188" s="145">
        <f>Table1123457[[#This Row],[M (KN.mm)]]/(Table1123457[[#This Row],[b (mm)]]*Table1123457[[#This Row],[h (mm)]]*Table1123457[[#This Row],[L(mm)]])</f>
        <v>7.1919619249074564E-4</v>
      </c>
      <c r="P188" s="145">
        <f>Table1123457[[#This Row],[M (KN.mm)]]/(Table1123457[[#This Row],[b (mm)]]*Table1123457[[#This Row],[d (mm)]]*Table1123457[[#This Row],[L(mm)]])</f>
        <v>7.9625292740046838E-4</v>
      </c>
      <c r="Q188" s="145">
        <f>Table1123457[[#This Row],[M (KN.mm)]]/(Table1123457[[#This Row],[b (mm)]]*Table1123457[[#This Row],[h (mm)]]*Table1123457[[#This Row],[L(mm)]]*Table1123457[[#This Row],[fc (Mpa)]])</f>
        <v>9.3039610930238766E-6</v>
      </c>
      <c r="R188" s="145">
        <f>Table1123457[[#This Row],[M (KN.mm)]]/(Table1123457[[#This Row],[b (mm)]]*Table1123457[[#This Row],[h (mm)]]*Table1123457[[#This Row],[L(mm)]]/2)</f>
        <v>1.4383923849814913E-3</v>
      </c>
      <c r="S188" s="145">
        <f>Table1123457[[#This Row],[M (KN.mm)]]/(Table1123457[[#This Row],[a (mm)]]*Table1123457[[#This Row],[b (mm)]]*Table1123457[[#This Row],[h (mm)]]*Table1123457[[#This Row],[L(mm)]]/2)</f>
        <v>1.7757930678783843E-6</v>
      </c>
      <c r="T188" s="111">
        <f>G188/($AL$5*AH188*0.001*Table1123457[[#This Row],[pho (%)]])</f>
        <v>4.1224250846412578E-6</v>
      </c>
      <c r="U188" s="145">
        <f>Table1123457[[#This Row],[M (KN.mm)]]/(Table1123457[[#This Row],[b (mm)]]*Table1123457[[#This Row],[d (mm)]]*Table1123457[[#This Row],[pho (%)]])</f>
        <v>0.962634136111014</v>
      </c>
      <c r="V188" s="145">
        <f>E188*224.8/(2*SQRT(Table1123457[[#This Row],[fc (Mpa)]]*145.037)*Table1123457[[#This Row],[b (mm)]]*Table1123457[[#This Row],[d (mm)]]*(1/25.4)^2)</f>
        <v>1.0906505712253871</v>
      </c>
      <c r="W188" s="145">
        <f>Table1123457[[#This Row],[M (KN.mm)]]/$G$194</f>
        <v>0.41212121212121211</v>
      </c>
      <c r="X188" s="111">
        <f t="shared" si="23"/>
        <v>1.0906505712253871</v>
      </c>
      <c r="Y188" s="111">
        <v>810</v>
      </c>
      <c r="Z188" s="111">
        <v>280</v>
      </c>
      <c r="AA188" s="111">
        <v>310</v>
      </c>
      <c r="AB188" s="111">
        <v>122</v>
      </c>
      <c r="AC188" s="7">
        <v>77.3</v>
      </c>
      <c r="AD188" s="135">
        <f>Table1123457[[#This Row],[pho (%)]]/100*Table1123457[[#This Row],[b (mm)]]*Table1123457[[#This Row],[h (mm)]]</f>
        <v>506.78800000000001</v>
      </c>
      <c r="AE188" s="135">
        <v>1.34</v>
      </c>
      <c r="AF188" s="160">
        <v>525</v>
      </c>
      <c r="AG188" s="135">
        <f>(1/3-0.21*(MIN(Table1123457[[#This Row],[b (mm)]],AA188)/MAX(Table1123457[[#This Row],[b (mm)]],AA188))*(MIN(Table1123457[[#This Row],[b (mm)]],AA188)^4/(12*MAX(Table1123457[[#This Row],[b (mm)]],AA188)^4)))*MAX(Table1123457[[#This Row],[b (mm)]],AA188)*MIN(Table1123457[[#This Row],[b (mm)]],AA188)^3</f>
        <v>187544629.45683298</v>
      </c>
      <c r="AH188" s="135">
        <f>Table1123457[[#This Row],[b (mm)]]*AA188^3/12</f>
        <v>302875166.66666669</v>
      </c>
      <c r="AI188" s="111">
        <v>1620</v>
      </c>
      <c r="AK188" s="107"/>
    </row>
    <row r="189" spans="1:37" x14ac:dyDescent="0.25">
      <c r="A189" s="265" t="s">
        <v>169</v>
      </c>
      <c r="B189" s="265">
        <v>4</v>
      </c>
      <c r="C189" s="185">
        <v>188</v>
      </c>
      <c r="D189" s="185">
        <f>Table1123457[[#This Row],[a (mm)]]/Table1123457[[#This Row],[d (mm)]]</f>
        <v>2.8928571428571428</v>
      </c>
      <c r="E189" s="266">
        <v>74.400000000000006</v>
      </c>
      <c r="F189" s="137">
        <f>Table1123457[[#This Row],[d (mm)]]</f>
        <v>280</v>
      </c>
      <c r="G189" s="135">
        <f t="shared" si="24"/>
        <v>60264.000000000007</v>
      </c>
      <c r="H189" s="135">
        <f t="shared" si="25"/>
        <v>7.5549502065881412E-6</v>
      </c>
      <c r="I189" s="135">
        <f>G189/(Table1123457[[#This Row],[b (mm)]]*Z189^2)</f>
        <v>6.3006022080963541E-3</v>
      </c>
      <c r="J189" s="135">
        <f t="shared" si="26"/>
        <v>0.80893624883278503</v>
      </c>
      <c r="K189" s="135">
        <f t="shared" si="27"/>
        <v>1.2633935498204847E-5</v>
      </c>
      <c r="L189" s="135">
        <f>E189/(Table1123457[[#This Row],[b (mm)]]*Z189)</f>
        <v>2.177985948477752E-3</v>
      </c>
      <c r="M189" s="135">
        <f>Table1123457[[#This Row],[M (KN.mm)]]/(Table1123457[[#This Row],[b (mm)]]*Table1123457[[#This Row],[d (mm)]])</f>
        <v>1.7641686182669791</v>
      </c>
      <c r="N189" s="135">
        <f>Table1123457[[#This Row],[M (KN.mm)]]/(Table1123457[[#This Row],[b (mm)]]*Table1123457[[#This Row],[h (mm)]])</f>
        <v>1.5934426229508198</v>
      </c>
      <c r="O189" s="145">
        <f>Table1123457[[#This Row],[M (KN.mm)]]/(Table1123457[[#This Row],[b (mm)]]*Table1123457[[#This Row],[h (mm)]]*Table1123457[[#This Row],[L(mm)]])</f>
        <v>9.836065573770494E-4</v>
      </c>
      <c r="P189" s="145">
        <f>Table1123457[[#This Row],[M (KN.mm)]]/(Table1123457[[#This Row],[b (mm)]]*Table1123457[[#This Row],[d (mm)]]*Table1123457[[#This Row],[L(mm)]])</f>
        <v>1.088992974238876E-3</v>
      </c>
      <c r="Q189" s="145">
        <f>Table1123457[[#This Row],[M (KN.mm)]]/(Table1123457[[#This Row],[b (mm)]]*Table1123457[[#This Row],[h (mm)]]*Table1123457[[#This Row],[L(mm)]]*Table1123457[[#This Row],[fc (Mpa)]])</f>
        <v>1.2724535024282656E-5</v>
      </c>
      <c r="R189" s="145">
        <f>Table1123457[[#This Row],[M (KN.mm)]]/(Table1123457[[#This Row],[b (mm)]]*Table1123457[[#This Row],[h (mm)]]*Table1123457[[#This Row],[L(mm)]]/2)</f>
        <v>1.9672131147540988E-3</v>
      </c>
      <c r="S189" s="145">
        <f>Table1123457[[#This Row],[M (KN.mm)]]/(Table1123457[[#This Row],[a (mm)]]*Table1123457[[#This Row],[b (mm)]]*Table1123457[[#This Row],[h (mm)]]*Table1123457[[#This Row],[L(mm)]]/2)</f>
        <v>2.4286581663630847E-6</v>
      </c>
      <c r="T189" s="111">
        <f>G189/($AL$5*AH189*0.001*Table1123457[[#This Row],[pho (%)]])</f>
        <v>5.6380225422299558E-6</v>
      </c>
      <c r="U189" s="145">
        <f>Table1123457[[#This Row],[M (KN.mm)]]/(Table1123457[[#This Row],[b (mm)]]*Table1123457[[#This Row],[d (mm)]]*Table1123457[[#This Row],[pho (%)]])</f>
        <v>1.3165437449753574</v>
      </c>
      <c r="V189" s="145">
        <f>E189*224.8/(2*SQRT(Table1123457[[#This Row],[fc (Mpa)]]*145.037)*Table1123457[[#This Row],[b (mm)]]*Table1123457[[#This Row],[d (mm)]]*(1/25.4)^2)</f>
        <v>1.4916250459406033</v>
      </c>
      <c r="W189" s="145">
        <f>Table1123457[[#This Row],[M (KN.mm)]]/$G$194</f>
        <v>0.56363636363636371</v>
      </c>
      <c r="X189" s="111">
        <f t="shared" si="23"/>
        <v>1.4916250459406033</v>
      </c>
      <c r="Y189" s="111">
        <v>810</v>
      </c>
      <c r="Z189" s="111">
        <v>280</v>
      </c>
      <c r="AA189" s="111">
        <v>310</v>
      </c>
      <c r="AB189" s="111">
        <v>122</v>
      </c>
      <c r="AC189" s="7">
        <v>77.3</v>
      </c>
      <c r="AD189" s="135">
        <f>Table1123457[[#This Row],[pho (%)]]/100*Table1123457[[#This Row],[b (mm)]]*Table1123457[[#This Row],[h (mm)]]</f>
        <v>506.78800000000001</v>
      </c>
      <c r="AE189" s="135">
        <v>1.34</v>
      </c>
      <c r="AF189" s="160">
        <v>525</v>
      </c>
      <c r="AG189" s="135">
        <f>(1/3-0.21*(MIN(Table1123457[[#This Row],[b (mm)]],AA189)/MAX(Table1123457[[#This Row],[b (mm)]],AA189))*(MIN(Table1123457[[#This Row],[b (mm)]],AA189)^4/(12*MAX(Table1123457[[#This Row],[b (mm)]],AA189)^4)))*MAX(Table1123457[[#This Row],[b (mm)]],AA189)*MIN(Table1123457[[#This Row],[b (mm)]],AA189)^3</f>
        <v>187544629.45683298</v>
      </c>
      <c r="AH189" s="135">
        <f>Table1123457[[#This Row],[b (mm)]]*AA189^3/12</f>
        <v>302875166.66666669</v>
      </c>
      <c r="AI189" s="111">
        <v>1620</v>
      </c>
      <c r="AK189" s="107"/>
    </row>
    <row r="190" spans="1:37" x14ac:dyDescent="0.25">
      <c r="A190" s="265" t="s">
        <v>169</v>
      </c>
      <c r="B190" s="265">
        <v>5</v>
      </c>
      <c r="C190" s="185">
        <v>189</v>
      </c>
      <c r="D190" s="185">
        <f>Table1123457[[#This Row],[a (mm)]]/Table1123457[[#This Row],[d (mm)]]</f>
        <v>2.8928571428571428</v>
      </c>
      <c r="E190" s="266">
        <v>95.4</v>
      </c>
      <c r="F190" s="137">
        <f>Table1123457[[#This Row],[d (mm)]]</f>
        <v>280</v>
      </c>
      <c r="G190" s="135">
        <f t="shared" si="24"/>
        <v>77274</v>
      </c>
      <c r="H190" s="135">
        <f t="shared" si="25"/>
        <v>9.6873958294154373E-6</v>
      </c>
      <c r="I190" s="135">
        <f>G190/(Table1123457[[#This Row],[b (mm)]]*Z190^2)</f>
        <v>8.078997992639678E-3</v>
      </c>
      <c r="J190" s="135">
        <f t="shared" si="26"/>
        <v>1.0372650287452645</v>
      </c>
      <c r="K190" s="135">
        <f t="shared" si="27"/>
        <v>1.6199965679149765E-5</v>
      </c>
      <c r="L190" s="135">
        <f>E190/(Table1123457[[#This Row],[b (mm)]]*Z190)</f>
        <v>2.7927400468384079E-3</v>
      </c>
      <c r="M190" s="135">
        <f>Table1123457[[#This Row],[M (KN.mm)]]/(Table1123457[[#This Row],[b (mm)]]*Table1123457[[#This Row],[d (mm)]])</f>
        <v>2.2621194379391101</v>
      </c>
      <c r="N190" s="135">
        <f>Table1123457[[#This Row],[M (KN.mm)]]/(Table1123457[[#This Row],[b (mm)]]*Table1123457[[#This Row],[h (mm)]])</f>
        <v>2.0432046536224222</v>
      </c>
      <c r="O190" s="145">
        <f>Table1123457[[#This Row],[M (KN.mm)]]/(Table1123457[[#This Row],[b (mm)]]*Table1123457[[#This Row],[h (mm)]]*Table1123457[[#This Row],[L(mm)]])</f>
        <v>1.261237440507668E-3</v>
      </c>
      <c r="P190" s="145">
        <f>Table1123457[[#This Row],[M (KN.mm)]]/(Table1123457[[#This Row],[b (mm)]]*Table1123457[[#This Row],[d (mm)]]*Table1123457[[#This Row],[L(mm)]])</f>
        <v>1.3963700234192037E-3</v>
      </c>
      <c r="Q190" s="145">
        <f>Table1123457[[#This Row],[M (KN.mm)]]/(Table1123457[[#This Row],[b (mm)]]*Table1123457[[#This Row],[h (mm)]]*Table1123457[[#This Row],[L(mm)]]*Table1123457[[#This Row],[fc (Mpa)]])</f>
        <v>1.631613765210437E-5</v>
      </c>
      <c r="R190" s="145">
        <f>Table1123457[[#This Row],[M (KN.mm)]]/(Table1123457[[#This Row],[b (mm)]]*Table1123457[[#This Row],[h (mm)]]*Table1123457[[#This Row],[L(mm)]]/2)</f>
        <v>2.522474881015336E-3</v>
      </c>
      <c r="S190" s="145">
        <f>Table1123457[[#This Row],[M (KN.mm)]]/(Table1123457[[#This Row],[a (mm)]]*Table1123457[[#This Row],[b (mm)]]*Table1123457[[#This Row],[h (mm)]]*Table1123457[[#This Row],[L(mm)]]/2)</f>
        <v>3.1141665197720197E-6</v>
      </c>
      <c r="T190" s="111">
        <f>G190/($AL$5*AH190*0.001*Table1123457[[#This Row],[pho (%)]])</f>
        <v>7.2293998726980883E-6</v>
      </c>
      <c r="U190" s="145">
        <f>Table1123457[[#This Row],[M (KN.mm)]]/(Table1123457[[#This Row],[b (mm)]]*Table1123457[[#This Row],[d (mm)]]*Table1123457[[#This Row],[pho (%)]])</f>
        <v>1.6881488342829178</v>
      </c>
      <c r="V190" s="145">
        <f>E190*224.8/(2*SQRT(Table1123457[[#This Row],[fc (Mpa)]]*145.037)*Table1123457[[#This Row],[b (mm)]]*Table1123457[[#This Row],[d (mm)]]*(1/25.4)^2)</f>
        <v>1.9126482443915798</v>
      </c>
      <c r="W190" s="145">
        <f>Table1123457[[#This Row],[M (KN.mm)]]/$G$194</f>
        <v>0.72272727272727277</v>
      </c>
      <c r="X190" s="111">
        <f t="shared" si="23"/>
        <v>1.9126482443915798</v>
      </c>
      <c r="Y190" s="111">
        <v>810</v>
      </c>
      <c r="Z190" s="111">
        <v>280</v>
      </c>
      <c r="AA190" s="111">
        <v>310</v>
      </c>
      <c r="AB190" s="111">
        <v>122</v>
      </c>
      <c r="AC190" s="7">
        <v>77.3</v>
      </c>
      <c r="AD190" s="135">
        <f>Table1123457[[#This Row],[pho (%)]]/100*Table1123457[[#This Row],[b (mm)]]*Table1123457[[#This Row],[h (mm)]]</f>
        <v>506.78800000000001</v>
      </c>
      <c r="AE190" s="135">
        <v>1.34</v>
      </c>
      <c r="AF190" s="160">
        <v>525</v>
      </c>
      <c r="AG190" s="135">
        <f>(1/3-0.21*(MIN(Table1123457[[#This Row],[b (mm)]],AA190)/MAX(Table1123457[[#This Row],[b (mm)]],AA190))*(MIN(Table1123457[[#This Row],[b (mm)]],AA190)^4/(12*MAX(Table1123457[[#This Row],[b (mm)]],AA190)^4)))*MAX(Table1123457[[#This Row],[b (mm)]],AA190)*MIN(Table1123457[[#This Row],[b (mm)]],AA190)^3</f>
        <v>187544629.45683298</v>
      </c>
      <c r="AH190" s="135">
        <f>Table1123457[[#This Row],[b (mm)]]*AA190^3/12</f>
        <v>302875166.66666669</v>
      </c>
      <c r="AI190" s="111">
        <v>1620</v>
      </c>
      <c r="AK190" s="107"/>
    </row>
    <row r="191" spans="1:37" x14ac:dyDescent="0.25">
      <c r="A191" s="265" t="s">
        <v>169</v>
      </c>
      <c r="B191" s="265">
        <v>6</v>
      </c>
      <c r="C191" s="185">
        <v>190</v>
      </c>
      <c r="D191" s="185">
        <f>Table1123457[[#This Row],[a (mm)]]/Table1123457[[#This Row],[d (mm)]]</f>
        <v>2.8928571428571428</v>
      </c>
      <c r="E191" s="266">
        <v>98.6</v>
      </c>
      <c r="F191" s="137">
        <f>Table1123457[[#This Row],[d (mm)]]</f>
        <v>280</v>
      </c>
      <c r="G191" s="135">
        <f t="shared" si="24"/>
        <v>79866</v>
      </c>
      <c r="H191" s="135">
        <f t="shared" si="25"/>
        <v>1.0012339924322455E-5</v>
      </c>
      <c r="I191" s="135">
        <f>G191/(Table1123457[[#This Row],[b (mm)]]*Z191^2)</f>
        <v>8.349991635998661E-3</v>
      </c>
      <c r="J191" s="135">
        <f t="shared" si="26"/>
        <v>1.0720579856843091</v>
      </c>
      <c r="K191" s="135">
        <f t="shared" si="27"/>
        <v>1.674336075434137E-5</v>
      </c>
      <c r="L191" s="135">
        <f>E191/(Table1123457[[#This Row],[b (mm)]]*Z191)</f>
        <v>2.8864168618266978E-3</v>
      </c>
      <c r="M191" s="135">
        <f>Table1123457[[#This Row],[M (KN.mm)]]/(Table1123457[[#This Row],[b (mm)]]*Table1123457[[#This Row],[d (mm)]])</f>
        <v>2.3379976580796251</v>
      </c>
      <c r="N191" s="135">
        <f>Table1123457[[#This Row],[M (KN.mm)]]/(Table1123457[[#This Row],[b (mm)]]*Table1123457[[#This Row],[h (mm)]])</f>
        <v>2.1117398202009521</v>
      </c>
      <c r="O191" s="145">
        <f>Table1123457[[#This Row],[M (KN.mm)]]/(Table1123457[[#This Row],[b (mm)]]*Table1123457[[#This Row],[h (mm)]]*Table1123457[[#This Row],[L(mm)]])</f>
        <v>1.3035430988894766E-3</v>
      </c>
      <c r="P191" s="145">
        <f>Table1123457[[#This Row],[M (KN.mm)]]/(Table1123457[[#This Row],[b (mm)]]*Table1123457[[#This Row],[d (mm)]]*Table1123457[[#This Row],[L(mm)]])</f>
        <v>1.4432084309133489E-3</v>
      </c>
      <c r="Q191" s="145">
        <f>Table1123457[[#This Row],[M (KN.mm)]]/(Table1123457[[#This Row],[b (mm)]]*Table1123457[[#This Row],[h (mm)]]*Table1123457[[#This Row],[L(mm)]]*Table1123457[[#This Row],[fc (Mpa)]])</f>
        <v>1.6863429481105777E-5</v>
      </c>
      <c r="R191" s="145">
        <f>Table1123457[[#This Row],[M (KN.mm)]]/(Table1123457[[#This Row],[b (mm)]]*Table1123457[[#This Row],[h (mm)]]*Table1123457[[#This Row],[L(mm)]]/2)</f>
        <v>2.6070861977789531E-3</v>
      </c>
      <c r="S191" s="145">
        <f>Table1123457[[#This Row],[M (KN.mm)]]/(Table1123457[[#This Row],[a (mm)]]*Table1123457[[#This Row],[b (mm)]]*Table1123457[[#This Row],[h (mm)]]*Table1123457[[#This Row],[L(mm)]]/2)</f>
        <v>3.2186249355295717E-6</v>
      </c>
      <c r="T191" s="111">
        <f>G191/($AL$5*AH191*0.001*Table1123457[[#This Row],[pho (%)]])</f>
        <v>7.4718954659122794E-6</v>
      </c>
      <c r="U191" s="145">
        <f>Table1123457[[#This Row],[M (KN.mm)]]/(Table1123457[[#This Row],[b (mm)]]*Table1123457[[#This Row],[d (mm)]]*Table1123457[[#This Row],[pho (%)]])</f>
        <v>1.7447743717012127</v>
      </c>
      <c r="V191" s="145">
        <f>E191*224.8/(2*SQRT(Table1123457[[#This Row],[fc (Mpa)]]*145.037)*Table1123457[[#This Row],[b (mm)]]*Table1123457[[#This Row],[d (mm)]]*(1/25.4)^2)</f>
        <v>1.976804160346014</v>
      </c>
      <c r="W191" s="145">
        <f>Table1123457[[#This Row],[M (KN.mm)]]/$G$194</f>
        <v>0.74696969696969695</v>
      </c>
      <c r="X191" s="111">
        <f t="shared" si="23"/>
        <v>1.976804160346014</v>
      </c>
      <c r="Y191" s="111">
        <v>810</v>
      </c>
      <c r="Z191" s="111">
        <v>280</v>
      </c>
      <c r="AA191" s="111">
        <v>310</v>
      </c>
      <c r="AB191" s="111">
        <v>122</v>
      </c>
      <c r="AC191" s="7">
        <v>77.3</v>
      </c>
      <c r="AD191" s="135">
        <f>Table1123457[[#This Row],[pho (%)]]/100*Table1123457[[#This Row],[b (mm)]]*Table1123457[[#This Row],[h (mm)]]</f>
        <v>506.78800000000001</v>
      </c>
      <c r="AE191" s="135">
        <v>1.34</v>
      </c>
      <c r="AF191" s="160">
        <v>525</v>
      </c>
      <c r="AG191" s="135">
        <f>(1/3-0.21*(MIN(Table1123457[[#This Row],[b (mm)]],AA191)/MAX(Table1123457[[#This Row],[b (mm)]],AA191))*(MIN(Table1123457[[#This Row],[b (mm)]],AA191)^4/(12*MAX(Table1123457[[#This Row],[b (mm)]],AA191)^4)))*MAX(Table1123457[[#This Row],[b (mm)]],AA191)*MIN(Table1123457[[#This Row],[b (mm)]],AA191)^3</f>
        <v>187544629.45683298</v>
      </c>
      <c r="AH191" s="135">
        <f>Table1123457[[#This Row],[b (mm)]]*AA191^3/12</f>
        <v>302875166.66666669</v>
      </c>
      <c r="AI191" s="111">
        <v>1620</v>
      </c>
      <c r="AK191" s="107"/>
    </row>
    <row r="192" spans="1:37" x14ac:dyDescent="0.25">
      <c r="A192" s="265" t="s">
        <v>169</v>
      </c>
      <c r="B192" s="265">
        <v>7</v>
      </c>
      <c r="C192" s="185">
        <v>191</v>
      </c>
      <c r="D192" s="185">
        <f>Table1123457[[#This Row],[a (mm)]]/Table1123457[[#This Row],[d (mm)]]</f>
        <v>2.8928571428571428</v>
      </c>
      <c r="E192" s="266">
        <v>106</v>
      </c>
      <c r="F192" s="137">
        <f>Table1123457[[#This Row],[d (mm)]]</f>
        <v>280</v>
      </c>
      <c r="G192" s="135">
        <f t="shared" si="24"/>
        <v>85860</v>
      </c>
      <c r="H192" s="135">
        <f t="shared" si="25"/>
        <v>1.076377314379493E-5</v>
      </c>
      <c r="I192" s="135">
        <f>G192/(Table1123457[[#This Row],[b (mm)]]*Z192^2)</f>
        <v>8.9766644362663101E-3</v>
      </c>
      <c r="J192" s="135">
        <f t="shared" si="26"/>
        <v>1.1525166986058495</v>
      </c>
      <c r="K192" s="135">
        <f t="shared" si="27"/>
        <v>1.7999961865721961E-5</v>
      </c>
      <c r="L192" s="135">
        <f>E192/(Table1123457[[#This Row],[b (mm)]]*Z192)</f>
        <v>3.1030444964871193E-3</v>
      </c>
      <c r="M192" s="135">
        <f>Table1123457[[#This Row],[M (KN.mm)]]/(Table1123457[[#This Row],[b (mm)]]*Table1123457[[#This Row],[d (mm)]])</f>
        <v>2.5134660421545667</v>
      </c>
      <c r="N192" s="135">
        <f>Table1123457[[#This Row],[M (KN.mm)]]/(Table1123457[[#This Row],[b (mm)]]*Table1123457[[#This Row],[h (mm)]])</f>
        <v>2.2702273929138022</v>
      </c>
      <c r="O192" s="145">
        <f>Table1123457[[#This Row],[M (KN.mm)]]/(Table1123457[[#This Row],[b (mm)]]*Table1123457[[#This Row],[h (mm)]]*Table1123457[[#This Row],[L(mm)]])</f>
        <v>1.4013749338974088E-3</v>
      </c>
      <c r="P192" s="145">
        <f>Table1123457[[#This Row],[M (KN.mm)]]/(Table1123457[[#This Row],[b (mm)]]*Table1123457[[#This Row],[d (mm)]]*Table1123457[[#This Row],[L(mm)]])</f>
        <v>1.5515222482435597E-3</v>
      </c>
      <c r="Q192" s="145">
        <f>Table1123457[[#This Row],[M (KN.mm)]]/(Table1123457[[#This Row],[b (mm)]]*Table1123457[[#This Row],[h (mm)]]*Table1123457[[#This Row],[L(mm)]]*Table1123457[[#This Row],[fc (Mpa)]])</f>
        <v>1.8129041835671522E-5</v>
      </c>
      <c r="R192" s="145">
        <f>Table1123457[[#This Row],[M (KN.mm)]]/(Table1123457[[#This Row],[b (mm)]]*Table1123457[[#This Row],[h (mm)]]*Table1123457[[#This Row],[L(mm)]]/2)</f>
        <v>2.8027498677948176E-3</v>
      </c>
      <c r="S192" s="145">
        <f>Table1123457[[#This Row],[M (KN.mm)]]/(Table1123457[[#This Row],[a (mm)]]*Table1123457[[#This Row],[b (mm)]]*Table1123457[[#This Row],[h (mm)]]*Table1123457[[#This Row],[L(mm)]]/2)</f>
        <v>3.4601850219689105E-6</v>
      </c>
      <c r="T192" s="111">
        <f>G192/($AL$5*AH192*0.001*Table1123457[[#This Row],[pho (%)]])</f>
        <v>8.0326665252200979E-6</v>
      </c>
      <c r="U192" s="145">
        <f>Table1123457[[#This Row],[M (KN.mm)]]/(Table1123457[[#This Row],[b (mm)]]*Table1123457[[#This Row],[d (mm)]]*Table1123457[[#This Row],[pho (%)]])</f>
        <v>1.87572092698102</v>
      </c>
      <c r="V192" s="145">
        <f>E192*224.8/(2*SQRT(Table1123457[[#This Row],[fc (Mpa)]]*145.037)*Table1123457[[#This Row],[b (mm)]]*Table1123457[[#This Row],[d (mm)]]*(1/25.4)^2)</f>
        <v>2.1251647159906444</v>
      </c>
      <c r="W192" s="145">
        <f>Table1123457[[#This Row],[M (KN.mm)]]/$G$194</f>
        <v>0.80303030303030298</v>
      </c>
      <c r="X192" s="111">
        <f t="shared" si="23"/>
        <v>2.1251647159906444</v>
      </c>
      <c r="Y192" s="111">
        <v>810</v>
      </c>
      <c r="Z192" s="111">
        <v>280</v>
      </c>
      <c r="AA192" s="111">
        <v>310</v>
      </c>
      <c r="AB192" s="111">
        <v>122</v>
      </c>
      <c r="AC192" s="7">
        <v>77.3</v>
      </c>
      <c r="AD192" s="135">
        <f>Table1123457[[#This Row],[pho (%)]]/100*Table1123457[[#This Row],[b (mm)]]*Table1123457[[#This Row],[h (mm)]]</f>
        <v>506.78800000000001</v>
      </c>
      <c r="AE192" s="135">
        <v>1.34</v>
      </c>
      <c r="AF192" s="160">
        <v>525</v>
      </c>
      <c r="AG192" s="135">
        <f>(1/3-0.21*(MIN(Table1123457[[#This Row],[b (mm)]],AA192)/MAX(Table1123457[[#This Row],[b (mm)]],AA192))*(MIN(Table1123457[[#This Row],[b (mm)]],AA192)^4/(12*MAX(Table1123457[[#This Row],[b (mm)]],AA192)^4)))*MAX(Table1123457[[#This Row],[b (mm)]],AA192)*MIN(Table1123457[[#This Row],[b (mm)]],AA192)^3</f>
        <v>187544629.45683298</v>
      </c>
      <c r="AH192" s="135">
        <f>Table1123457[[#This Row],[b (mm)]]*AA192^3/12</f>
        <v>302875166.66666669</v>
      </c>
      <c r="AI192" s="111">
        <v>1620</v>
      </c>
      <c r="AK192" s="107"/>
    </row>
    <row r="193" spans="1:37" x14ac:dyDescent="0.25">
      <c r="A193" s="265" t="s">
        <v>169</v>
      </c>
      <c r="B193" s="265">
        <v>8</v>
      </c>
      <c r="C193" s="185">
        <v>192</v>
      </c>
      <c r="D193" s="185">
        <f>Table1123457[[#This Row],[a (mm)]]/Table1123457[[#This Row],[d (mm)]]</f>
        <v>2.8928571428571428</v>
      </c>
      <c r="E193" s="266">
        <v>120</v>
      </c>
      <c r="F193" s="137">
        <f>Table1123457[[#This Row],[d (mm)]]</f>
        <v>280</v>
      </c>
      <c r="G193" s="135">
        <f t="shared" ref="G193:G198" si="28">E193*Y193</f>
        <v>97200</v>
      </c>
      <c r="H193" s="135">
        <f t="shared" ref="H193:H198" si="29">G193/($AL$5*AH193*0.001)</f>
        <v>1.2185403559013129E-5</v>
      </c>
      <c r="I193" s="135">
        <f>G193/(Table1123457[[#This Row],[b (mm)]]*Z193^2)</f>
        <v>1.0162261625961859E-2</v>
      </c>
      <c r="J193" s="135">
        <f t="shared" ref="J193:J198" si="30">G193/(AD193*AF193*Z193*0.001)</f>
        <v>1.3047358852141693</v>
      </c>
      <c r="K193" s="135">
        <f t="shared" ref="K193:K198" si="31">E193/($AL$4*AG193*0.001)</f>
        <v>2.0377315319685237E-5</v>
      </c>
      <c r="L193" s="135">
        <f>E193/(Table1123457[[#This Row],[b (mm)]]*Z193)</f>
        <v>3.5128805620608899E-3</v>
      </c>
      <c r="M193" s="135">
        <f>Table1123457[[#This Row],[M (KN.mm)]]/(Table1123457[[#This Row],[b (mm)]]*Table1123457[[#This Row],[d (mm)]])</f>
        <v>2.8454332552693207</v>
      </c>
      <c r="N193" s="135">
        <f>Table1123457[[#This Row],[M (KN.mm)]]/(Table1123457[[#This Row],[b (mm)]]*Table1123457[[#This Row],[h (mm)]])</f>
        <v>2.5700687466948704</v>
      </c>
      <c r="O193" s="145">
        <f>Table1123457[[#This Row],[M (KN.mm)]]/(Table1123457[[#This Row],[b (mm)]]*Table1123457[[#This Row],[h (mm)]]*Table1123457[[#This Row],[L(mm)]])</f>
        <v>1.5864621893178213E-3</v>
      </c>
      <c r="P193" s="145">
        <f>Table1123457[[#This Row],[M (KN.mm)]]/(Table1123457[[#This Row],[b (mm)]]*Table1123457[[#This Row],[d (mm)]]*Table1123457[[#This Row],[L(mm)]])</f>
        <v>1.756440281030445E-3</v>
      </c>
      <c r="Q193" s="145">
        <f>Table1123457[[#This Row],[M (KN.mm)]]/(Table1123457[[#This Row],[b (mm)]]*Table1123457[[#This Row],[h (mm)]]*Table1123457[[#This Row],[L(mm)]]*Table1123457[[#This Row],[fc (Mpa)]])</f>
        <v>2.0523443587552669E-5</v>
      </c>
      <c r="R193" s="145">
        <f>Table1123457[[#This Row],[M (KN.mm)]]/(Table1123457[[#This Row],[b (mm)]]*Table1123457[[#This Row],[h (mm)]]*Table1123457[[#This Row],[L(mm)]]/2)</f>
        <v>3.1729243786356425E-3</v>
      </c>
      <c r="S193" s="145">
        <f>Table1123457[[#This Row],[M (KN.mm)]]/(Table1123457[[#This Row],[a (mm)]]*Table1123457[[#This Row],[b (mm)]]*Table1123457[[#This Row],[h (mm)]]*Table1123457[[#This Row],[L(mm)]]/2)</f>
        <v>3.9171905909082009E-6</v>
      </c>
      <c r="T193" s="111">
        <f>G193/($AL$5*AH193*0.001*Table1123457[[#This Row],[pho (%)]])</f>
        <v>9.0935847455321862E-6</v>
      </c>
      <c r="U193" s="145">
        <f>Table1123457[[#This Row],[M (KN.mm)]]/(Table1123457[[#This Row],[b (mm)]]*Table1123457[[#This Row],[d (mm)]]*Table1123457[[#This Row],[pho (%)]])</f>
        <v>2.1234576531860601</v>
      </c>
      <c r="V193" s="145">
        <f>E193*224.8/(2*SQRT(Table1123457[[#This Row],[fc (Mpa)]]*145.037)*Table1123457[[#This Row],[b (mm)]]*Table1123457[[#This Row],[d (mm)]]*(1/25.4)^2)</f>
        <v>2.4058468482912949</v>
      </c>
      <c r="W193" s="145">
        <f>Table1123457[[#This Row],[M (KN.mm)]]/$G$194</f>
        <v>0.90909090909090906</v>
      </c>
      <c r="X193" s="111">
        <f t="shared" si="23"/>
        <v>2.4058468482912949</v>
      </c>
      <c r="Y193" s="111">
        <v>810</v>
      </c>
      <c r="Z193" s="111">
        <v>280</v>
      </c>
      <c r="AA193" s="111">
        <v>310</v>
      </c>
      <c r="AB193" s="111">
        <v>122</v>
      </c>
      <c r="AC193" s="7">
        <v>77.3</v>
      </c>
      <c r="AD193" s="135">
        <f>Table1123457[[#This Row],[pho (%)]]/100*Table1123457[[#This Row],[b (mm)]]*Table1123457[[#This Row],[h (mm)]]</f>
        <v>506.78800000000001</v>
      </c>
      <c r="AE193" s="135">
        <v>1.34</v>
      </c>
      <c r="AF193" s="160">
        <v>525</v>
      </c>
      <c r="AG193" s="135">
        <f>(1/3-0.21*(MIN(Table1123457[[#This Row],[b (mm)]],AA193)/MAX(Table1123457[[#This Row],[b (mm)]],AA193))*(MIN(Table1123457[[#This Row],[b (mm)]],AA193)^4/(12*MAX(Table1123457[[#This Row],[b (mm)]],AA193)^4)))*MAX(Table1123457[[#This Row],[b (mm)]],AA193)*MIN(Table1123457[[#This Row],[b (mm)]],AA193)^3</f>
        <v>187544629.45683298</v>
      </c>
      <c r="AH193" s="135">
        <f>Table1123457[[#This Row],[b (mm)]]*AA193^3/12</f>
        <v>302875166.66666669</v>
      </c>
      <c r="AI193" s="111">
        <v>1620</v>
      </c>
      <c r="AK193" s="107"/>
    </row>
    <row r="194" spans="1:37" x14ac:dyDescent="0.25">
      <c r="A194" s="265" t="s">
        <v>169</v>
      </c>
      <c r="B194" s="265" t="s">
        <v>141</v>
      </c>
      <c r="C194" s="185">
        <v>193</v>
      </c>
      <c r="D194" s="185">
        <f>Table1123457[[#This Row],[a (mm)]]/Table1123457[[#This Row],[d (mm)]]</f>
        <v>2.8928571428571428</v>
      </c>
      <c r="E194" s="266">
        <v>132</v>
      </c>
      <c r="F194" s="137">
        <f>Table1123457[[#This Row],[d (mm)]]</f>
        <v>280</v>
      </c>
      <c r="G194" s="135">
        <f t="shared" si="28"/>
        <v>106920</v>
      </c>
      <c r="H194" s="135">
        <f t="shared" si="29"/>
        <v>1.3403943914914442E-5</v>
      </c>
      <c r="I194" s="135">
        <f>G194/(Table1123457[[#This Row],[b (mm)]]*Z194^2)</f>
        <v>1.1178487788558046E-2</v>
      </c>
      <c r="J194" s="135">
        <f t="shared" si="30"/>
        <v>1.4352094737355863</v>
      </c>
      <c r="K194" s="135">
        <f t="shared" si="31"/>
        <v>2.241504685165376E-5</v>
      </c>
      <c r="L194" s="135">
        <f>E194/(Table1123457[[#This Row],[b (mm)]]*Z194)</f>
        <v>3.8641686182669791E-3</v>
      </c>
      <c r="M194" s="135">
        <f>Table1123457[[#This Row],[M (KN.mm)]]/(Table1123457[[#This Row],[b (mm)]]*Table1123457[[#This Row],[d (mm)]])</f>
        <v>3.129976580796253</v>
      </c>
      <c r="N194" s="135">
        <f>Table1123457[[#This Row],[M (KN.mm)]]/(Table1123457[[#This Row],[b (mm)]]*Table1123457[[#This Row],[h (mm)]])</f>
        <v>2.8270756213643575</v>
      </c>
      <c r="O194" s="145">
        <f>Table1123457[[#This Row],[M (KN.mm)]]/(Table1123457[[#This Row],[b (mm)]]*Table1123457[[#This Row],[h (mm)]]*Table1123457[[#This Row],[L(mm)]])</f>
        <v>1.7451084082496034E-3</v>
      </c>
      <c r="P194" s="145">
        <f>Table1123457[[#This Row],[M (KN.mm)]]/(Table1123457[[#This Row],[b (mm)]]*Table1123457[[#This Row],[d (mm)]]*Table1123457[[#This Row],[L(mm)]])</f>
        <v>1.9320843091334896E-3</v>
      </c>
      <c r="Q194" s="145">
        <f>Table1123457[[#This Row],[M (KN.mm)]]/(Table1123457[[#This Row],[b (mm)]]*Table1123457[[#This Row],[h (mm)]]*Table1123457[[#This Row],[L(mm)]]*Table1123457[[#This Row],[fc (Mpa)]])</f>
        <v>2.2575787946307935E-5</v>
      </c>
      <c r="R194" s="145">
        <f>Table1123457[[#This Row],[M (KN.mm)]]/(Table1123457[[#This Row],[b (mm)]]*Table1123457[[#This Row],[h (mm)]]*Table1123457[[#This Row],[L(mm)]]/2)</f>
        <v>3.4902168164992068E-3</v>
      </c>
      <c r="S194" s="145">
        <f>Table1123457[[#This Row],[M (KN.mm)]]/(Table1123457[[#This Row],[a (mm)]]*Table1123457[[#This Row],[b (mm)]]*Table1123457[[#This Row],[h (mm)]]*Table1123457[[#This Row],[L(mm)]]/2)</f>
        <v>4.3089096499990204E-6</v>
      </c>
      <c r="T194" s="111">
        <f>G194/($AL$5*AH194*0.001*Table1123457[[#This Row],[pho (%)]])</f>
        <v>1.0002943220085406E-5</v>
      </c>
      <c r="U194" s="145">
        <f>Table1123457[[#This Row],[M (KN.mm)]]/(Table1123457[[#This Row],[b (mm)]]*Table1123457[[#This Row],[d (mm)]]*Table1123457[[#This Row],[pho (%)]])</f>
        <v>2.3358034185046663</v>
      </c>
      <c r="V194" s="145">
        <f>E194*224.8/(2*SQRT(Table1123457[[#This Row],[fc (Mpa)]]*145.037)*Table1123457[[#This Row],[b (mm)]]*Table1123457[[#This Row],[d (mm)]]*(1/25.4)^2)</f>
        <v>2.6464315331204249</v>
      </c>
      <c r="W194" s="145">
        <f>Table1123457[[#This Row],[M (KN.mm)]]/$G$194</f>
        <v>1</v>
      </c>
      <c r="X194" s="111">
        <f t="shared" si="23"/>
        <v>2.6464315331204249</v>
      </c>
      <c r="Y194" s="111">
        <v>810</v>
      </c>
      <c r="Z194" s="111">
        <v>280</v>
      </c>
      <c r="AA194" s="111">
        <v>310</v>
      </c>
      <c r="AB194" s="111">
        <v>122</v>
      </c>
      <c r="AC194" s="7">
        <v>77.3</v>
      </c>
      <c r="AD194" s="135">
        <f>Table1123457[[#This Row],[pho (%)]]/100*Table1123457[[#This Row],[b (mm)]]*Table1123457[[#This Row],[h (mm)]]</f>
        <v>506.78800000000001</v>
      </c>
      <c r="AE194" s="135">
        <v>1.34</v>
      </c>
      <c r="AF194" s="160">
        <v>525</v>
      </c>
      <c r="AG194" s="135">
        <f>(1/3-0.21*(MIN(Table1123457[[#This Row],[b (mm)]],AA194)/MAX(Table1123457[[#This Row],[b (mm)]],AA194))*(MIN(Table1123457[[#This Row],[b (mm)]],AA194)^4/(12*MAX(Table1123457[[#This Row],[b (mm)]],AA194)^4)))*MAX(Table1123457[[#This Row],[b (mm)]],AA194)*MIN(Table1123457[[#This Row],[b (mm)]],AA194)^3</f>
        <v>187544629.45683298</v>
      </c>
      <c r="AH194" s="135">
        <f>Table1123457[[#This Row],[b (mm)]]*AA194^3/12</f>
        <v>302875166.66666669</v>
      </c>
      <c r="AI194" s="111">
        <v>1620</v>
      </c>
      <c r="AK194" s="107"/>
    </row>
    <row r="195" spans="1:37" x14ac:dyDescent="0.25">
      <c r="A195" s="267" t="s">
        <v>170</v>
      </c>
      <c r="B195" s="267">
        <v>2</v>
      </c>
      <c r="C195" s="185">
        <v>194</v>
      </c>
      <c r="D195" s="185">
        <f>Table1123457[[#This Row],[a (mm)]]/Table1123457[[#This Row],[d (mm)]]</f>
        <v>2.79</v>
      </c>
      <c r="E195" s="268">
        <v>190</v>
      </c>
      <c r="F195" s="137">
        <f>Table1123457[[#This Row],[d (mm)]]</f>
        <v>1450</v>
      </c>
      <c r="G195" s="135">
        <f t="shared" si="28"/>
        <v>768645</v>
      </c>
      <c r="H195" s="135">
        <f t="shared" si="29"/>
        <v>3.5176172098522474E-7</v>
      </c>
      <c r="I195" s="135">
        <f>G195/(Table1123457[[#This Row],[b (mm)]]*Z195^2)</f>
        <v>1.2392752776154295E-3</v>
      </c>
      <c r="J195" s="135">
        <f t="shared" si="30"/>
        <v>0.91273607748184016</v>
      </c>
      <c r="K195" s="135">
        <f t="shared" si="31"/>
        <v>4.7140546037368627E-7</v>
      </c>
      <c r="L195" s="135">
        <f>E195/(Table1123457[[#This Row],[b (mm)]]*Z195)</f>
        <v>4.4418468731735828E-4</v>
      </c>
      <c r="M195" s="135">
        <f>Table1123457[[#This Row],[M (KN.mm)]]/(Table1123457[[#This Row],[b (mm)]]*Table1123457[[#This Row],[d (mm)]])</f>
        <v>1.7969491525423729</v>
      </c>
      <c r="N195" s="135">
        <f>Table1123457[[#This Row],[M (KN.mm)]]/(Table1123457[[#This Row],[b (mm)]]*Table1123457[[#This Row],[h (mm)]])</f>
        <v>1.7370508474576272</v>
      </c>
      <c r="O195" s="145">
        <f>Table1123457[[#This Row],[M (KN.mm)]]/(Table1123457[[#This Row],[b (mm)]]*Table1123457[[#This Row],[h (mm)]]*Table1123457[[#This Row],[L(mm)]])</f>
        <v>2.1445072190834903E-4</v>
      </c>
      <c r="P195" s="145">
        <f>Table1123457[[#This Row],[M (KN.mm)]]/(Table1123457[[#This Row],[b (mm)]]*Table1123457[[#This Row],[d (mm)]]*Table1123457[[#This Row],[L(mm)]])</f>
        <v>2.2184557438794728E-4</v>
      </c>
      <c r="Q195" s="145">
        <f>Table1123457[[#This Row],[M (KN.mm)]]/(Table1123457[[#This Row],[b (mm)]]*Table1123457[[#This Row],[h (mm)]]*Table1123457[[#This Row],[L(mm)]]*Table1123457[[#This Row],[fc (Mpa)]])</f>
        <v>5.9240530913908565E-6</v>
      </c>
      <c r="R195" s="145">
        <f>Table1123457[[#This Row],[M (KN.mm)]]/(Table1123457[[#This Row],[b (mm)]]*Table1123457[[#This Row],[h (mm)]]*Table1123457[[#This Row],[L(mm)]]/2)</f>
        <v>4.2890144381669805E-4</v>
      </c>
      <c r="S195" s="145">
        <f>Table1123457[[#This Row],[M (KN.mm)]]/(Table1123457[[#This Row],[a (mm)]]*Table1123457[[#This Row],[b (mm)]]*Table1123457[[#This Row],[h (mm)]]*Table1123457[[#This Row],[L(mm)]]/2)</f>
        <v>1.0601939038850527E-7</v>
      </c>
      <c r="T195" s="111">
        <f>G195/($AL$5*AH195*0.001*Table1123457[[#This Row],[pho (%)]])</f>
        <v>1.407046883940899E-6</v>
      </c>
      <c r="U195" s="145">
        <f>Table1123457[[#This Row],[M (KN.mm)]]/(Table1123457[[#This Row],[b (mm)]]*Table1123457[[#This Row],[d (mm)]]*Table1123457[[#This Row],[pho (%)]])</f>
        <v>7.1877966101694915</v>
      </c>
      <c r="V195" s="145">
        <f>E195*224.8/(2*SQRT(Table1123457[[#This Row],[fc (Mpa)]]*145.037)*Table1123457[[#This Row],[b (mm)]]*Table1123457[[#This Row],[d (mm)]]*(1/25.4)^2)</f>
        <v>0.44453262277879912</v>
      </c>
      <c r="W195" s="145">
        <f>Table1123457[[#This Row],[M (KN.mm)]]/$G$198</f>
        <v>0.55393586005830908</v>
      </c>
      <c r="X195" s="111">
        <f t="shared" ref="X195:X197" si="32">V195</f>
        <v>0.44453262277879912</v>
      </c>
      <c r="Y195" s="111">
        <f>2.79*Table1123457[[#This Row],[d (mm)]]</f>
        <v>4045.5</v>
      </c>
      <c r="Z195" s="111">
        <v>1450</v>
      </c>
      <c r="AA195" s="111">
        <v>1500</v>
      </c>
      <c r="AB195" s="111">
        <v>295</v>
      </c>
      <c r="AC195" s="7">
        <v>36.200000000000003</v>
      </c>
      <c r="AD195" s="135">
        <f>Table1123457[[#This Row],[pho (%)]]/100*Table1123457[[#This Row],[b (mm)]]*Table1123457[[#This Row],[h (mm)]]</f>
        <v>1106.25</v>
      </c>
      <c r="AE195" s="135">
        <v>0.25</v>
      </c>
      <c r="AF195" s="160">
        <v>525</v>
      </c>
      <c r="AG195" s="135">
        <f>(1/3-0.21*(MIN(Table1123457[[#This Row],[b (mm)]],AA195)/MAX(Table1123457[[#This Row],[b (mm)]],AA195))*(MIN(Table1123457[[#This Row],[b (mm)]],AA195)^4/(12*MAX(Table1123457[[#This Row],[b (mm)]],AA195)^4)))*MAX(Table1123457[[#This Row],[b (mm)]],AA195)*MIN(Table1123457[[#This Row],[b (mm)]],AA195)^3</f>
        <v>12835989233.591198</v>
      </c>
      <c r="AH195" s="135">
        <f>Table1123457[[#This Row],[b (mm)]]*AA195^3/12</f>
        <v>82968750000</v>
      </c>
      <c r="AI195" s="111">
        <v>8100</v>
      </c>
      <c r="AK195" s="107"/>
    </row>
    <row r="196" spans="1:37" x14ac:dyDescent="0.25">
      <c r="A196" s="267" t="s">
        <v>170</v>
      </c>
      <c r="B196" s="267">
        <v>3</v>
      </c>
      <c r="C196" s="185">
        <v>195</v>
      </c>
      <c r="D196" s="185">
        <f>Table1123457[[#This Row],[a (mm)]]/Table1123457[[#This Row],[d (mm)]]</f>
        <v>2.79</v>
      </c>
      <c r="E196" s="268">
        <v>225</v>
      </c>
      <c r="F196" s="137">
        <f>Table1123457[[#This Row],[d (mm)]]</f>
        <v>1450</v>
      </c>
      <c r="G196" s="135">
        <f t="shared" si="28"/>
        <v>910237.5</v>
      </c>
      <c r="H196" s="135">
        <f t="shared" si="29"/>
        <v>4.1655993274566088E-7</v>
      </c>
      <c r="I196" s="135">
        <f>G196/(Table1123457[[#This Row],[b (mm)]]*Z196^2)</f>
        <v>1.467562828755114E-3</v>
      </c>
      <c r="J196" s="135">
        <f t="shared" si="30"/>
        <v>1.0808716707021793</v>
      </c>
      <c r="K196" s="135">
        <f t="shared" si="31"/>
        <v>5.5824330833726002E-7</v>
      </c>
      <c r="L196" s="135">
        <f>E196/(Table1123457[[#This Row],[b (mm)]]*Z196)</f>
        <v>5.2600818234950324E-4</v>
      </c>
      <c r="M196" s="135">
        <f>Table1123457[[#This Row],[M (KN.mm)]]/(Table1123457[[#This Row],[b (mm)]]*Table1123457[[#This Row],[d (mm)]])</f>
        <v>2.1279661016949154</v>
      </c>
      <c r="N196" s="135">
        <f>Table1123457[[#This Row],[M (KN.mm)]]/(Table1123457[[#This Row],[b (mm)]]*Table1123457[[#This Row],[h (mm)]])</f>
        <v>2.0570338983050847</v>
      </c>
      <c r="O196" s="145">
        <f>Table1123457[[#This Row],[M (KN.mm)]]/(Table1123457[[#This Row],[b (mm)]]*Table1123457[[#This Row],[h (mm)]]*Table1123457[[#This Row],[L(mm)]])</f>
        <v>2.5395480225988702E-4</v>
      </c>
      <c r="P196" s="145">
        <f>Table1123457[[#This Row],[M (KN.mm)]]/(Table1123457[[#This Row],[b (mm)]]*Table1123457[[#This Row],[d (mm)]]*Table1123457[[#This Row],[L(mm)]])</f>
        <v>2.6271186440677966E-4</v>
      </c>
      <c r="Q196" s="145">
        <f>Table1123457[[#This Row],[M (KN.mm)]]/(Table1123457[[#This Row],[b (mm)]]*Table1123457[[#This Row],[h (mm)]]*Table1123457[[#This Row],[L(mm)]]*Table1123457[[#This Row],[fc (Mpa)]])</f>
        <v>7.0153260292786457E-6</v>
      </c>
      <c r="R196" s="145">
        <f>Table1123457[[#This Row],[M (KN.mm)]]/(Table1123457[[#This Row],[b (mm)]]*Table1123457[[#This Row],[h (mm)]]*Table1123457[[#This Row],[L(mm)]]/2)</f>
        <v>5.0790960451977405E-4</v>
      </c>
      <c r="S196" s="145">
        <f>Table1123457[[#This Row],[M (KN.mm)]]/(Table1123457[[#This Row],[a (mm)]]*Table1123457[[#This Row],[b (mm)]]*Table1123457[[#This Row],[h (mm)]]*Table1123457[[#This Row],[L(mm)]]/2)</f>
        <v>1.2554927809165096E-7</v>
      </c>
      <c r="T196" s="111">
        <f>G196/($AL$5*AH196*0.001*Table1123457[[#This Row],[pho (%)]])</f>
        <v>1.6662397309826435E-6</v>
      </c>
      <c r="U196" s="145">
        <f>Table1123457[[#This Row],[M (KN.mm)]]/(Table1123457[[#This Row],[b (mm)]]*Table1123457[[#This Row],[d (mm)]]*Table1123457[[#This Row],[pho (%)]])</f>
        <v>8.5118644067796616</v>
      </c>
      <c r="V196" s="145">
        <f>E196*224.8/(2*SQRT(Table1123457[[#This Row],[fc (Mpa)]]*145.037)*Table1123457[[#This Row],[b (mm)]]*Table1123457[[#This Row],[d (mm)]]*(1/25.4)^2)</f>
        <v>0.52642021118542004</v>
      </c>
      <c r="W196" s="145">
        <f>Table1123457[[#This Row],[M (KN.mm)]]/$G$198</f>
        <v>0.6559766763848397</v>
      </c>
      <c r="X196" s="111">
        <f t="shared" si="32"/>
        <v>0.52642021118542004</v>
      </c>
      <c r="Y196" s="111">
        <f>2.79*Table1123457[[#This Row],[d (mm)]]</f>
        <v>4045.5</v>
      </c>
      <c r="Z196" s="111">
        <v>1450</v>
      </c>
      <c r="AA196" s="111">
        <v>1500</v>
      </c>
      <c r="AB196" s="111">
        <v>295</v>
      </c>
      <c r="AC196" s="7">
        <v>36.200000000000003</v>
      </c>
      <c r="AD196" s="135">
        <f>Table1123457[[#This Row],[pho (%)]]/100*Table1123457[[#This Row],[b (mm)]]*Table1123457[[#This Row],[h (mm)]]</f>
        <v>1106.25</v>
      </c>
      <c r="AE196" s="135">
        <v>0.25</v>
      </c>
      <c r="AF196" s="160">
        <v>525</v>
      </c>
      <c r="AG196" s="135">
        <f>(1/3-0.21*(MIN(Table1123457[[#This Row],[b (mm)]],AA196)/MAX(Table1123457[[#This Row],[b (mm)]],AA196))*(MIN(Table1123457[[#This Row],[b (mm)]],AA196)^4/(12*MAX(Table1123457[[#This Row],[b (mm)]],AA196)^4)))*MAX(Table1123457[[#This Row],[b (mm)]],AA196)*MIN(Table1123457[[#This Row],[b (mm)]],AA196)^3</f>
        <v>12835989233.591198</v>
      </c>
      <c r="AH196" s="135">
        <f>Table1123457[[#This Row],[b (mm)]]*AA196^3/12</f>
        <v>82968750000</v>
      </c>
      <c r="AI196" s="111">
        <v>8100</v>
      </c>
      <c r="AK196" s="107"/>
    </row>
    <row r="197" spans="1:37" x14ac:dyDescent="0.25">
      <c r="A197" s="267" t="s">
        <v>170</v>
      </c>
      <c r="B197" s="267">
        <v>4</v>
      </c>
      <c r="C197" s="185">
        <v>196</v>
      </c>
      <c r="D197" s="185">
        <f>Table1123457[[#This Row],[a (mm)]]/Table1123457[[#This Row],[d (mm)]]</f>
        <v>2.79</v>
      </c>
      <c r="E197" s="268">
        <v>300</v>
      </c>
      <c r="F197" s="137">
        <f>Table1123457[[#This Row],[d (mm)]]</f>
        <v>1450</v>
      </c>
      <c r="G197" s="135">
        <f t="shared" si="28"/>
        <v>1213650</v>
      </c>
      <c r="H197" s="135">
        <f t="shared" si="29"/>
        <v>5.5541324366088113E-7</v>
      </c>
      <c r="I197" s="135">
        <f>G197/(Table1123457[[#This Row],[b (mm)]]*Z197^2)</f>
        <v>1.9567504383401521E-3</v>
      </c>
      <c r="J197" s="135">
        <f t="shared" si="30"/>
        <v>1.4411622276029055</v>
      </c>
      <c r="K197" s="135">
        <f t="shared" si="31"/>
        <v>7.443244111163467E-7</v>
      </c>
      <c r="L197" s="135">
        <f>E197/(Table1123457[[#This Row],[b (mm)]]*Z197)</f>
        <v>7.0134424313267091E-4</v>
      </c>
      <c r="M197" s="135">
        <f>Table1123457[[#This Row],[M (KN.mm)]]/(Table1123457[[#This Row],[b (mm)]]*Table1123457[[#This Row],[d (mm)]])</f>
        <v>2.8372881355932202</v>
      </c>
      <c r="N197" s="135">
        <f>Table1123457[[#This Row],[M (KN.mm)]]/(Table1123457[[#This Row],[b (mm)]]*Table1123457[[#This Row],[h (mm)]])</f>
        <v>2.7427118644067798</v>
      </c>
      <c r="O197" s="145">
        <f>Table1123457[[#This Row],[M (KN.mm)]]/(Table1123457[[#This Row],[b (mm)]]*Table1123457[[#This Row],[h (mm)]]*Table1123457[[#This Row],[L(mm)]])</f>
        <v>3.386064030131827E-4</v>
      </c>
      <c r="P197" s="145">
        <f>Table1123457[[#This Row],[M (KN.mm)]]/(Table1123457[[#This Row],[b (mm)]]*Table1123457[[#This Row],[d (mm)]]*Table1123457[[#This Row],[L(mm)]])</f>
        <v>3.502824858757062E-4</v>
      </c>
      <c r="Q197" s="145">
        <f>Table1123457[[#This Row],[M (KN.mm)]]/(Table1123457[[#This Row],[b (mm)]]*Table1123457[[#This Row],[h (mm)]]*Table1123457[[#This Row],[L(mm)]]*Table1123457[[#This Row],[fc (Mpa)]])</f>
        <v>9.3537680390381943E-6</v>
      </c>
      <c r="R197" s="145">
        <f>Table1123457[[#This Row],[M (KN.mm)]]/(Table1123457[[#This Row],[b (mm)]]*Table1123457[[#This Row],[h (mm)]]*Table1123457[[#This Row],[L(mm)]]/2)</f>
        <v>6.772128060263654E-4</v>
      </c>
      <c r="S197" s="145">
        <f>Table1123457[[#This Row],[M (KN.mm)]]/(Table1123457[[#This Row],[a (mm)]]*Table1123457[[#This Row],[b (mm)]]*Table1123457[[#This Row],[h (mm)]]*Table1123457[[#This Row],[L(mm)]]/2)</f>
        <v>1.6739903745553464E-7</v>
      </c>
      <c r="T197" s="111">
        <f>G197/($AL$5*AH197*0.001*Table1123457[[#This Row],[pho (%)]])</f>
        <v>2.2216529746435245E-6</v>
      </c>
      <c r="U197" s="145">
        <f>Table1123457[[#This Row],[M (KN.mm)]]/(Table1123457[[#This Row],[b (mm)]]*Table1123457[[#This Row],[d (mm)]]*Table1123457[[#This Row],[pho (%)]])</f>
        <v>11.349152542372881</v>
      </c>
      <c r="V197" s="145">
        <f>E197*224.8/(2*SQRT(Table1123457[[#This Row],[fc (Mpa)]]*145.037)*Table1123457[[#This Row],[b (mm)]]*Table1123457[[#This Row],[d (mm)]]*(1/25.4)^2)</f>
        <v>0.70189361491389335</v>
      </c>
      <c r="W197" s="145">
        <f>Table1123457[[#This Row],[M (KN.mm)]]/$G$198</f>
        <v>0.87463556851311952</v>
      </c>
      <c r="X197" s="111">
        <f t="shared" si="32"/>
        <v>0.70189361491389335</v>
      </c>
      <c r="Y197" s="111">
        <f>2.79*Table1123457[[#This Row],[d (mm)]]</f>
        <v>4045.5</v>
      </c>
      <c r="Z197" s="111">
        <v>1450</v>
      </c>
      <c r="AA197" s="111">
        <v>1500</v>
      </c>
      <c r="AB197" s="111">
        <v>295</v>
      </c>
      <c r="AC197" s="7">
        <v>36.200000000000003</v>
      </c>
      <c r="AD197" s="135">
        <f>Table1123457[[#This Row],[pho (%)]]/100*Table1123457[[#This Row],[b (mm)]]*Table1123457[[#This Row],[h (mm)]]</f>
        <v>1106.25</v>
      </c>
      <c r="AE197" s="135">
        <v>0.25</v>
      </c>
      <c r="AF197" s="160">
        <v>525</v>
      </c>
      <c r="AG197" s="135">
        <f>(1/3-0.21*(MIN(Table1123457[[#This Row],[b (mm)]],AA197)/MAX(Table1123457[[#This Row],[b (mm)]],AA197))*(MIN(Table1123457[[#This Row],[b (mm)]],AA197)^4/(12*MAX(Table1123457[[#This Row],[b (mm)]],AA197)^4)))*MAX(Table1123457[[#This Row],[b (mm)]],AA197)*MIN(Table1123457[[#This Row],[b (mm)]],AA197)^3</f>
        <v>12835989233.591198</v>
      </c>
      <c r="AH197" s="135">
        <f>Table1123457[[#This Row],[b (mm)]]*AA197^3/12</f>
        <v>82968750000</v>
      </c>
      <c r="AI197" s="111">
        <v>8100</v>
      </c>
      <c r="AK197" s="107"/>
    </row>
    <row r="198" spans="1:37" x14ac:dyDescent="0.25">
      <c r="A198" s="267" t="s">
        <v>170</v>
      </c>
      <c r="B198" s="267" t="s">
        <v>141</v>
      </c>
      <c r="C198" s="185">
        <v>197</v>
      </c>
      <c r="D198" s="185">
        <f>Table1123457[[#This Row],[a (mm)]]/Table1123457[[#This Row],[d (mm)]]</f>
        <v>2.79</v>
      </c>
      <c r="E198" s="268">
        <v>343</v>
      </c>
      <c r="F198" s="137">
        <f>Table1123457[[#This Row],[d (mm)]]</f>
        <v>1450</v>
      </c>
      <c r="G198" s="135">
        <f t="shared" si="28"/>
        <v>1387606.5</v>
      </c>
      <c r="H198" s="135">
        <f t="shared" si="29"/>
        <v>6.3502247525227411E-7</v>
      </c>
      <c r="I198" s="135">
        <f>G198/(Table1123457[[#This Row],[b (mm)]]*Z198^2)</f>
        <v>2.237218001168907E-3</v>
      </c>
      <c r="J198" s="135">
        <f t="shared" si="30"/>
        <v>1.647728813559322</v>
      </c>
      <c r="K198" s="135">
        <f t="shared" si="31"/>
        <v>8.5101091004302309E-7</v>
      </c>
      <c r="L198" s="135">
        <f>E198/(Table1123457[[#This Row],[b (mm)]]*Z198)</f>
        <v>8.0187025131502044E-4</v>
      </c>
      <c r="M198" s="135">
        <f>Table1123457[[#This Row],[M (KN.mm)]]/(Table1123457[[#This Row],[b (mm)]]*Table1123457[[#This Row],[d (mm)]])</f>
        <v>3.2439661016949151</v>
      </c>
      <c r="N198" s="135">
        <f>Table1123457[[#This Row],[M (KN.mm)]]/(Table1123457[[#This Row],[b (mm)]]*Table1123457[[#This Row],[h (mm)]])</f>
        <v>3.1358338983050849</v>
      </c>
      <c r="O198" s="145">
        <f>Table1123457[[#This Row],[M (KN.mm)]]/(Table1123457[[#This Row],[b (mm)]]*Table1123457[[#This Row],[h (mm)]]*Table1123457[[#This Row],[L(mm)]])</f>
        <v>3.8713998744507221E-4</v>
      </c>
      <c r="P198" s="145">
        <f>Table1123457[[#This Row],[M (KN.mm)]]/(Table1123457[[#This Row],[b (mm)]]*Table1123457[[#This Row],[d (mm)]]*Table1123457[[#This Row],[L(mm)]])</f>
        <v>4.0048964218455745E-4</v>
      </c>
      <c r="Q198" s="145">
        <f>Table1123457[[#This Row],[M (KN.mm)]]/(Table1123457[[#This Row],[b (mm)]]*Table1123457[[#This Row],[h (mm)]]*Table1123457[[#This Row],[L(mm)]]*Table1123457[[#This Row],[fc (Mpa)]])</f>
        <v>1.0694474791300335E-5</v>
      </c>
      <c r="R198" s="145">
        <f>Table1123457[[#This Row],[M (KN.mm)]]/(Table1123457[[#This Row],[b (mm)]]*Table1123457[[#This Row],[h (mm)]]*Table1123457[[#This Row],[L(mm)]]/2)</f>
        <v>7.7427997489014442E-4</v>
      </c>
      <c r="S198" s="145">
        <f>Table1123457[[#This Row],[M (KN.mm)]]/(Table1123457[[#This Row],[a (mm)]]*Table1123457[[#This Row],[b (mm)]]*Table1123457[[#This Row],[h (mm)]]*Table1123457[[#This Row],[L(mm)]]/2)</f>
        <v>1.9139289949082793E-7</v>
      </c>
      <c r="T198" s="111">
        <f>G198/($AL$5*AH198*0.001*Table1123457[[#This Row],[pho (%)]])</f>
        <v>2.5400899010090964E-6</v>
      </c>
      <c r="U198" s="145">
        <f>Table1123457[[#This Row],[M (KN.mm)]]/(Table1123457[[#This Row],[b (mm)]]*Table1123457[[#This Row],[d (mm)]]*Table1123457[[#This Row],[pho (%)]])</f>
        <v>12.97586440677966</v>
      </c>
      <c r="V198" s="145">
        <f>E198*224.8/(2*SQRT(Table1123457[[#This Row],[fc (Mpa)]]*145.037)*Table1123457[[#This Row],[b (mm)]]*Table1123457[[#This Row],[d (mm)]]*(1/25.4)^2)</f>
        <v>0.80249836638488492</v>
      </c>
      <c r="W198" s="145">
        <f>Table1123457[[#This Row],[M (KN.mm)]]/$G$198</f>
        <v>1</v>
      </c>
      <c r="X198" s="111">
        <f>V198</f>
        <v>0.80249836638488492</v>
      </c>
      <c r="Y198" s="111">
        <f>2.79*Table1123457[[#This Row],[d (mm)]]</f>
        <v>4045.5</v>
      </c>
      <c r="Z198" s="111">
        <v>1450</v>
      </c>
      <c r="AA198" s="111">
        <v>1500</v>
      </c>
      <c r="AB198" s="111">
        <v>295</v>
      </c>
      <c r="AC198" s="7">
        <v>36.200000000000003</v>
      </c>
      <c r="AD198" s="135">
        <f>Table1123457[[#This Row],[pho (%)]]/100*Table1123457[[#This Row],[b (mm)]]*Table1123457[[#This Row],[h (mm)]]</f>
        <v>1106.25</v>
      </c>
      <c r="AE198" s="135">
        <v>0.25</v>
      </c>
      <c r="AF198" s="160">
        <v>525</v>
      </c>
      <c r="AG198" s="135">
        <f>(1/3-0.21*(MIN(Table1123457[[#This Row],[b (mm)]],AA198)/MAX(Table1123457[[#This Row],[b (mm)]],AA198))*(MIN(Table1123457[[#This Row],[b (mm)]],AA198)^4/(12*MAX(Table1123457[[#This Row],[b (mm)]],AA198)^4)))*MAX(Table1123457[[#This Row],[b (mm)]],AA198)*MIN(Table1123457[[#This Row],[b (mm)]],AA198)^3</f>
        <v>12835989233.591198</v>
      </c>
      <c r="AH198" s="135">
        <f>Table1123457[[#This Row],[b (mm)]]*AA198^3/12</f>
        <v>82968750000</v>
      </c>
      <c r="AI198" s="111">
        <v>8100</v>
      </c>
      <c r="AK198" s="107"/>
    </row>
    <row r="199" spans="1:3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K199" s="107"/>
    </row>
    <row r="200" spans="1:3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K200" s="107"/>
    </row>
    <row r="201" spans="1:3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K201" s="107"/>
    </row>
    <row r="202" spans="1:3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K202" s="107"/>
    </row>
    <row r="203" spans="1:3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K203" s="107"/>
    </row>
    <row r="204" spans="1:3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K204" s="107"/>
    </row>
    <row r="205" spans="1:3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K205" s="107"/>
    </row>
    <row r="206" spans="1:3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K206" s="107"/>
    </row>
    <row r="207" spans="1:3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K207" s="107"/>
    </row>
    <row r="208" spans="1:3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K208" s="107"/>
    </row>
    <row r="209" spans="1:3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K209" s="107"/>
    </row>
    <row r="210" spans="1:3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K210" s="107"/>
    </row>
    <row r="211" spans="1:3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K211" s="107"/>
    </row>
    <row r="212" spans="1:3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K212" s="107"/>
    </row>
    <row r="213" spans="1:3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K213" s="107"/>
    </row>
    <row r="214" spans="1:3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K214" s="107"/>
    </row>
    <row r="215" spans="1:3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K215" s="107"/>
    </row>
    <row r="216" spans="1:3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K216" s="107"/>
    </row>
    <row r="217" spans="1:3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K217" s="107"/>
    </row>
    <row r="218" spans="1:3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K218" s="107"/>
    </row>
    <row r="219" spans="1:3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K219" s="107"/>
    </row>
    <row r="220" spans="1:3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K220" s="107"/>
    </row>
    <row r="221" spans="1:3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K221" s="107"/>
    </row>
    <row r="222" spans="1:3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K222" s="107"/>
    </row>
    <row r="223" spans="1:3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K223" s="107"/>
    </row>
    <row r="224" spans="1:3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K224" s="107"/>
    </row>
    <row r="225" spans="1:3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K225" s="107"/>
    </row>
    <row r="226" spans="1:3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K226" s="107"/>
    </row>
    <row r="227" spans="1:3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K227" s="107"/>
    </row>
    <row r="228" spans="1:3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K228" s="107"/>
    </row>
    <row r="229" spans="1:3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K229" s="107"/>
    </row>
    <row r="230" spans="1:3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K230" s="107"/>
    </row>
    <row r="231" spans="1:3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K231" s="107"/>
    </row>
    <row r="232" spans="1:3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K232" s="107"/>
    </row>
    <row r="233" spans="1:3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K233" s="107"/>
    </row>
    <row r="234" spans="1:3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K234" s="107"/>
    </row>
    <row r="235" spans="1:3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K235" s="107"/>
    </row>
    <row r="236" spans="1:3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K236" s="107"/>
    </row>
    <row r="237" spans="1:3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K237" s="107"/>
    </row>
    <row r="238" spans="1:3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K238" s="107"/>
    </row>
    <row r="239" spans="1:3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K239" s="107"/>
    </row>
    <row r="240" spans="1:3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K240" s="107"/>
    </row>
    <row r="241" spans="1:3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K241" s="107"/>
    </row>
    <row r="242" spans="1:3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K242" s="107"/>
    </row>
    <row r="243" spans="1:3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K243" s="107"/>
    </row>
    <row r="244" spans="1:3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K244" s="107"/>
    </row>
    <row r="245" spans="1:3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K245" s="107"/>
    </row>
    <row r="246" spans="1:3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K246" s="107"/>
    </row>
    <row r="247" spans="1:3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K247" s="107"/>
    </row>
    <row r="248" spans="1:3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K248" s="107"/>
    </row>
    <row r="249" spans="1:3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K249" s="107"/>
    </row>
    <row r="250" spans="1:3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K250" s="107"/>
    </row>
    <row r="251" spans="1:3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K251" s="107"/>
    </row>
    <row r="252" spans="1:3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K252" s="107"/>
    </row>
    <row r="253" spans="1:3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K253" s="107"/>
    </row>
    <row r="254" spans="1:3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K254" s="107"/>
    </row>
    <row r="255" spans="1:3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K255" s="107"/>
    </row>
    <row r="256" spans="1:3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K256" s="107"/>
    </row>
    <row r="257" spans="1:3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K257" s="107"/>
    </row>
    <row r="258" spans="1:3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K258" s="107"/>
    </row>
    <row r="259" spans="1:3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K259" s="107"/>
    </row>
    <row r="260" spans="1:3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K260" s="107"/>
    </row>
    <row r="261" spans="1:3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K261" s="107"/>
    </row>
    <row r="262" spans="1:3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K262" s="107"/>
    </row>
    <row r="263" spans="1:3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K263" s="107"/>
    </row>
    <row r="264" spans="1:3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K264" s="107"/>
    </row>
    <row r="265" spans="1:3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K265" s="107"/>
    </row>
    <row r="266" spans="1:3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K266" s="107"/>
    </row>
    <row r="267" spans="1:3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K267" s="107"/>
    </row>
    <row r="268" spans="1:3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K268" s="107"/>
    </row>
    <row r="269" spans="1:3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K269" s="107"/>
    </row>
    <row r="270" spans="1:3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K270" s="107"/>
    </row>
    <row r="271" spans="1:3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K271" s="107"/>
    </row>
    <row r="272" spans="1:3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K272" s="107"/>
    </row>
    <row r="273" spans="1:3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K273" s="107"/>
    </row>
    <row r="274" spans="1:3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K274" s="107"/>
    </row>
    <row r="275" spans="1:3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K275" s="107"/>
    </row>
    <row r="276" spans="1:3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K276" s="107"/>
    </row>
    <row r="277" spans="1:3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K277" s="107"/>
    </row>
    <row r="278" spans="1:3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K278" s="107"/>
    </row>
    <row r="279" spans="1:3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K279" s="107"/>
    </row>
    <row r="280" spans="1:3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K280" s="107"/>
    </row>
    <row r="281" spans="1:3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K281" s="107"/>
    </row>
    <row r="282" spans="1:3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K282" s="107"/>
    </row>
    <row r="283" spans="1:3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</row>
    <row r="284" spans="1:3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</row>
    <row r="285" spans="1:3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</row>
    <row r="286" spans="1:3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</row>
    <row r="287" spans="1:3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</row>
    <row r="288" spans="1:3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</row>
    <row r="289" spans="1:35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</row>
    <row r="290" spans="1:35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</row>
    <row r="291" spans="1:35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</row>
    <row r="292" spans="1:35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</row>
    <row r="293" spans="1:35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</row>
    <row r="294" spans="1:35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</row>
    <row r="295" spans="1:35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</row>
    <row r="296" spans="1:35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</row>
    <row r="297" spans="1:35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</row>
    <row r="298" spans="1:35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</row>
    <row r="299" spans="1:35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</row>
    <row r="300" spans="1:35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</row>
    <row r="301" spans="1:35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</row>
    <row r="302" spans="1:35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</row>
    <row r="303" spans="1:35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</row>
    <row r="304" spans="1:35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</row>
    <row r="305" spans="1:35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</row>
    <row r="306" spans="1:35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</row>
    <row r="307" spans="1:35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</row>
    <row r="308" spans="1:35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</row>
    <row r="309" spans="1:35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</row>
    <row r="310" spans="1:35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</row>
    <row r="311" spans="1:35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</row>
    <row r="312" spans="1:35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</row>
    <row r="313" spans="1:35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</row>
    <row r="314" spans="1:35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</row>
    <row r="315" spans="1:35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5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5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5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5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5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5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5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5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R331"/>
  <sheetViews>
    <sheetView topLeftCell="S1" zoomScaleNormal="100" workbookViewId="0">
      <selection activeCell="T5" sqref="T5"/>
    </sheetView>
  </sheetViews>
  <sheetFormatPr defaultRowHeight="15" x14ac:dyDescent="0.25"/>
  <cols>
    <col min="1" max="1" width="15" style="140" customWidth="1"/>
    <col min="2" max="2" width="8.28515625" style="2" customWidth="1"/>
    <col min="3" max="3" width="7.42578125" style="2" customWidth="1"/>
    <col min="4" max="4" width="9.42578125" style="188" customWidth="1"/>
    <col min="5" max="5" width="10.85546875" style="188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7.7109375" style="2" customWidth="1"/>
    <col min="11" max="11" width="8.85546875" style="2" customWidth="1"/>
    <col min="12" max="12" width="8.42578125" style="2" customWidth="1"/>
    <col min="13" max="17" width="10" style="2" customWidth="1"/>
    <col min="18" max="24" width="14.71093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style="2" customWidth="1"/>
    <col min="37" max="37" width="13.5703125" style="2" customWidth="1"/>
    <col min="38" max="38" width="12.42578125" style="1" customWidth="1"/>
    <col min="39" max="39" width="9.140625" style="1"/>
    <col min="40" max="16384" width="9.140625" style="2"/>
  </cols>
  <sheetData>
    <row r="1" spans="1:44" ht="80.25" customHeight="1" x14ac:dyDescent="0.25">
      <c r="A1" s="151" t="s">
        <v>59</v>
      </c>
      <c r="B1" s="104" t="s">
        <v>57</v>
      </c>
      <c r="C1" s="104" t="s">
        <v>58</v>
      </c>
      <c r="D1" s="187" t="s">
        <v>194</v>
      </c>
      <c r="E1" s="189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s="1" t="s">
        <v>50</v>
      </c>
      <c r="AK1" s="1" t="s">
        <v>75</v>
      </c>
      <c r="AL1" s="1" t="s">
        <v>80</v>
      </c>
      <c r="AM1" s="1" t="s">
        <v>89</v>
      </c>
    </row>
    <row r="2" spans="1:44" x14ac:dyDescent="0.25">
      <c r="A2" s="178" t="s">
        <v>193</v>
      </c>
      <c r="B2" s="176">
        <v>1</v>
      </c>
      <c r="C2" s="176">
        <v>1</v>
      </c>
      <c r="D2" s="176">
        <f>Table1123457910[[#This Row],[a (mm)]]/Table1123457910[[#This Row],[d (mm)]]</f>
        <v>3.1</v>
      </c>
      <c r="E2" s="176">
        <f>251*12/19</f>
        <v>158.52631578947367</v>
      </c>
      <c r="F2" s="137">
        <f>Table1123457910[[#This Row],[d (mm)]]</f>
        <v>3840</v>
      </c>
      <c r="G2" s="111">
        <f>E2*Y2</f>
        <v>1887097.2631578946</v>
      </c>
      <c r="H2" s="111">
        <f>G2/($AL$5*AH2*0.001)</f>
        <v>5.3739406554167626E-8</v>
      </c>
      <c r="I2" s="111">
        <f>G2/(Table1123457910[[#This Row],[b (mm)]]*Z2^2)</f>
        <v>5.1190789473684205E-4</v>
      </c>
      <c r="J2" s="111">
        <f>G2/(AD2*AF2*Z2*0.001)</f>
        <v>0.14182729551150602</v>
      </c>
      <c r="K2" s="111">
        <f>E2/($AL$4*AG2*0.001)</f>
        <v>2.4233323372212084E-7</v>
      </c>
      <c r="L2" s="111">
        <f>E2/(Table1123457910[[#This Row],[b (mm)]]*Z2)</f>
        <v>1.651315789473684E-4</v>
      </c>
      <c r="M2" s="111">
        <f>Table1123457910[[#This Row],[M (KN.mm)]]/(Table1123457910[[#This Row],[b (mm)]]*Table1123457910[[#This Row],[d (mm)]])</f>
        <v>1.9657263157894735</v>
      </c>
      <c r="N2" s="111">
        <f>Table1123457910[[#This Row],[M (KN.mm)]]/(Table1123457910[[#This Row],[b (mm)]]*Table1123457910[[#This Row],[h (mm)]])</f>
        <v>1.8870972631578946</v>
      </c>
      <c r="O2" s="111">
        <f>Table1123457910[[#This Row],[M (KN.mm)]]/(Table1123457910[[#This Row],[b (mm)]]*Table1123457910[[#This Row],[h (mm)]]*Table1123457910[[#This Row],[L(mm)]])</f>
        <v>7.9263157894736839E-5</v>
      </c>
      <c r="P2" s="111">
        <f>Table1123457910[[#This Row],[M (KN.mm)]]/(Table1123457910[[#This Row],[b (mm)]]*Table1123457910[[#This Row],[d (mm)]]*Table1123457910[[#This Row],[L(mm)]])</f>
        <v>8.25657894736842E-5</v>
      </c>
      <c r="Q2" s="111">
        <f>Table1123457910[[#This Row],[M (KN.mm)]]/(Table1123457910[[#This Row],[b (mm)]]*Table1123457910[[#This Row],[h (mm)]]*Table1123457910[[#This Row],[L(mm)]]*Table1123457910[[#This Row],[fc (Mpa)]])</f>
        <v>1.981578947368421E-6</v>
      </c>
      <c r="R2" s="111">
        <f>Table1123457910[[#This Row],[M (KN.mm)]]/(Table1123457910[[#This Row],[b (mm)]]*Table1123457910[[#This Row],[h (mm)]]*Table1123457910[[#This Row],[L(mm)]]/2)</f>
        <v>1.5852631578947368E-4</v>
      </c>
      <c r="S2" s="111">
        <f>Table1123457910[[#This Row],[M (KN.mm)]]/(Table1123457910[[#This Row],[a (mm)]]*Table1123457910[[#This Row],[b (mm)]]*Table1123457910[[#This Row],[h (mm)]]*Table1123457910[[#This Row],[L(mm)]]/2)</f>
        <v>1.3317062818336162E-8</v>
      </c>
      <c r="T2" s="111">
        <f>G2/($AL$5*AH2*0.001*Table1123457910[[#This Row],[pho (%)]])</f>
        <v>8.1423343263890336E-8</v>
      </c>
      <c r="U2" s="111">
        <f>Table1123457910[[#This Row],[M (KN.mm)]]/(Table1123457910[[#This Row],[b (mm)]]*Table1123457910[[#This Row],[d (mm)]]*Table1123457910[[#This Row],[pho (%)]])</f>
        <v>2.9783732057416268</v>
      </c>
      <c r="V2" s="111">
        <f>E2*224.8/(2*SQRT(Table1123457910[[#This Row],[fc (Mpa)]]*145.037)*Table1123457910[[#This Row],[b (mm)]]*Table1123457910[[#This Row],[d (mm)]]*(1/25.4)^2)</f>
        <v>0.1572151803746186</v>
      </c>
      <c r="W2" s="111">
        <f>Table1123457910[[#This Row],[M (KN.mm)]]/$G$11</f>
        <v>0.11609620721554116</v>
      </c>
      <c r="X2" s="111">
        <f>V2</f>
        <v>0.1572151803746186</v>
      </c>
      <c r="Y2" s="111">
        <f>3.1*Table1123457910[[#This Row],[d (mm)]]</f>
        <v>11904</v>
      </c>
      <c r="Z2" s="111">
        <v>3840</v>
      </c>
      <c r="AA2" s="111">
        <v>4000</v>
      </c>
      <c r="AB2" s="111">
        <v>250</v>
      </c>
      <c r="AC2" s="7">
        <v>40</v>
      </c>
      <c r="AD2" s="111">
        <f>Table1123457910[[#This Row],[pho (%)]]*Table1123457910[[#This Row],[b (mm)]]*Table1123457910[[#This Row],[h (mm)]]/100</f>
        <v>6600</v>
      </c>
      <c r="AE2" s="111">
        <v>0.66</v>
      </c>
      <c r="AF2" s="111">
        <v>525</v>
      </c>
      <c r="AG2" s="111">
        <f>(1/3-0.21*(MIN(Table1123457910[[#This Row],[b (mm)]],AA2)/MAX(Table1123457910[[#This Row],[b (mm)]],AA2))*(MIN(Table1123457910[[#This Row],[b (mm)]],AA2)^4/(12*MAX(Table1123457910[[#This Row],[b (mm)]],AA2)^4)))*MAX(Table1123457910[[#This Row],[b (mm)]],AA2)*MIN(Table1123457910[[#This Row],[b (mm)]],AA2)^3</f>
        <v>20833332290.252048</v>
      </c>
      <c r="AH2" s="111">
        <f>Table1123457910[[#This Row],[b (mm)]]*AA2^3/12</f>
        <v>1333333333333.3333</v>
      </c>
      <c r="AI2" s="111">
        <f>Table1123457910[[#This Row],[a (mm)]]*2</f>
        <v>23808</v>
      </c>
      <c r="AJ2" s="1"/>
      <c r="AK2" s="1"/>
    </row>
    <row r="3" spans="1:44" x14ac:dyDescent="0.25">
      <c r="A3" s="178" t="s">
        <v>193</v>
      </c>
      <c r="B3" s="176">
        <v>2</v>
      </c>
      <c r="C3" s="176">
        <v>2</v>
      </c>
      <c r="D3" s="176">
        <f>Table1123457910[[#This Row],[a (mm)]]/Table1123457910[[#This Row],[d (mm)]]</f>
        <v>3.1</v>
      </c>
      <c r="E3" s="176">
        <v>377</v>
      </c>
      <c r="F3" s="137">
        <f>Table1123457910[[#This Row],[d (mm)]]</f>
        <v>3840</v>
      </c>
      <c r="G3" s="111">
        <f t="shared" ref="G3:G11" si="0">E3*Y3</f>
        <v>4487808</v>
      </c>
      <c r="H3" s="111">
        <f t="shared" ref="H3:H11" si="1">G3/($AL$5*AH3*0.001)</f>
        <v>1.2780058736636875E-7</v>
      </c>
      <c r="I3" s="111">
        <f>G3/(Table1123457910[[#This Row],[b (mm)]]*Z3^2)</f>
        <v>1.2173958333333334E-3</v>
      </c>
      <c r="J3" s="111">
        <f t="shared" ref="J3:J11" si="2">G3/(AD3*AF3*Z3*0.001)</f>
        <v>0.3372871572871573</v>
      </c>
      <c r="K3" s="111">
        <f t="shared" ref="K3:K11" si="3">E3/($AL$4*AG3*0.001)</f>
        <v>5.7630576133849663E-7</v>
      </c>
      <c r="L3" s="111">
        <f>E3/(Table1123457910[[#This Row],[b (mm)]]*Z3)</f>
        <v>3.9270833333333334E-4</v>
      </c>
      <c r="M3" s="111">
        <f>Table1123457910[[#This Row],[M (KN.mm)]]/(Table1123457910[[#This Row],[b (mm)]]*Table1123457910[[#This Row],[d (mm)]])</f>
        <v>4.6748000000000003</v>
      </c>
      <c r="N3" s="111">
        <f>Table1123457910[[#This Row],[M (KN.mm)]]/(Table1123457910[[#This Row],[b (mm)]]*Table1123457910[[#This Row],[h (mm)]])</f>
        <v>4.4878080000000002</v>
      </c>
      <c r="O3" s="111">
        <f>Table1123457910[[#This Row],[M (KN.mm)]]/(Table1123457910[[#This Row],[b (mm)]]*Table1123457910[[#This Row],[h (mm)]]*Table1123457910[[#This Row],[L(mm)]])</f>
        <v>1.885E-4</v>
      </c>
      <c r="P3" s="111">
        <f>Table1123457910[[#This Row],[M (KN.mm)]]/(Table1123457910[[#This Row],[b (mm)]]*Table1123457910[[#This Row],[d (mm)]]*Table1123457910[[#This Row],[L(mm)]])</f>
        <v>1.9635416666666667E-4</v>
      </c>
      <c r="Q3" s="111">
        <f>Table1123457910[[#This Row],[M (KN.mm)]]/(Table1123457910[[#This Row],[b (mm)]]*Table1123457910[[#This Row],[h (mm)]]*Table1123457910[[#This Row],[L(mm)]]*Table1123457910[[#This Row],[fc (Mpa)]])</f>
        <v>4.7125000000000002E-6</v>
      </c>
      <c r="R3" s="111">
        <f>Table1123457910[[#This Row],[M (KN.mm)]]/(Table1123457910[[#This Row],[b (mm)]]*Table1123457910[[#This Row],[h (mm)]]*Table1123457910[[#This Row],[L(mm)]]/2)</f>
        <v>3.77E-4</v>
      </c>
      <c r="S3" s="111">
        <f>Table1123457910[[#This Row],[M (KN.mm)]]/(Table1123457910[[#This Row],[a (mm)]]*Table1123457910[[#This Row],[b (mm)]]*Table1123457910[[#This Row],[h (mm)]]*Table1123457910[[#This Row],[L(mm)]]/2)</f>
        <v>3.1670026881720429E-8</v>
      </c>
      <c r="T3" s="111">
        <f>G3/($AL$5*AH3*0.001*Table1123457910[[#This Row],[pho (%)]])</f>
        <v>1.9363725358540723E-7</v>
      </c>
      <c r="U3" s="111">
        <f>Table1123457910[[#This Row],[M (KN.mm)]]/(Table1123457910[[#This Row],[b (mm)]]*Table1123457910[[#This Row],[d (mm)]]*Table1123457910[[#This Row],[pho (%)]])</f>
        <v>7.083030303030303</v>
      </c>
      <c r="V3" s="111">
        <f>E3*224.8/(2*SQRT(Table1123457910[[#This Row],[fc (Mpa)]]*145.037)*Table1123457910[[#This Row],[b (mm)]]*Table1123457910[[#This Row],[d (mm)]]*(1/25.4)^2)</f>
        <v>0.37388191800245457</v>
      </c>
      <c r="W3" s="111">
        <f>Table1123457910[[#This Row],[M (KN.mm)]]/$G$11</f>
        <v>0.27609466543324085</v>
      </c>
      <c r="X3" s="111">
        <f t="shared" ref="X3:X11" si="4">V3</f>
        <v>0.37388191800245457</v>
      </c>
      <c r="Y3" s="111">
        <f>3.1*Table1123457910[[#This Row],[d (mm)]]</f>
        <v>11904</v>
      </c>
      <c r="Z3" s="111">
        <v>3840</v>
      </c>
      <c r="AA3" s="111">
        <v>4000</v>
      </c>
      <c r="AB3" s="111">
        <v>250</v>
      </c>
      <c r="AC3" s="7">
        <v>40</v>
      </c>
      <c r="AD3" s="111">
        <f>Table1123457910[[#This Row],[pho (%)]]*Table1123457910[[#This Row],[b (mm)]]*Table1123457910[[#This Row],[h (mm)]]/100</f>
        <v>6600</v>
      </c>
      <c r="AE3" s="111">
        <v>0.66</v>
      </c>
      <c r="AF3" s="111">
        <v>525</v>
      </c>
      <c r="AG3" s="111">
        <f>(1/3-0.21*(MIN(Table1123457910[[#This Row],[b (mm)]],AA3)/MAX(Table1123457910[[#This Row],[b (mm)]],AA3))*(MIN(Table1123457910[[#This Row],[b (mm)]],AA3)^4/(12*MAX(Table1123457910[[#This Row],[b (mm)]],AA3)^4)))*MAX(Table1123457910[[#This Row],[b (mm)]],AA3)*MIN(Table1123457910[[#This Row],[b (mm)]],AA3)^3</f>
        <v>20833332290.252048</v>
      </c>
      <c r="AH3" s="111">
        <f>Table1123457910[[#This Row],[b (mm)]]*AA3^3/12</f>
        <v>1333333333333.3333</v>
      </c>
      <c r="AI3" s="111">
        <f>Table1123457910[[#This Row],[a (mm)]]*2</f>
        <v>23808</v>
      </c>
      <c r="AJ3" s="1"/>
      <c r="AK3" s="1"/>
    </row>
    <row r="4" spans="1:44" x14ac:dyDescent="0.25">
      <c r="A4" s="178" t="s">
        <v>193</v>
      </c>
      <c r="B4" s="176">
        <v>3</v>
      </c>
      <c r="C4" s="176">
        <v>3</v>
      </c>
      <c r="D4" s="176">
        <f>Table1123457910[[#This Row],[a (mm)]]/Table1123457910[[#This Row],[d (mm)]]</f>
        <v>3.1</v>
      </c>
      <c r="E4" s="176">
        <f>500*12/19</f>
        <v>315.78947368421052</v>
      </c>
      <c r="F4" s="137">
        <f>Table1123457910[[#This Row],[d (mm)]]</f>
        <v>3840</v>
      </c>
      <c r="G4" s="111">
        <f t="shared" si="0"/>
        <v>3759157.8947368423</v>
      </c>
      <c r="H4" s="111">
        <f t="shared" si="1"/>
        <v>1.0705061066567256E-7</v>
      </c>
      <c r="I4" s="111">
        <f>G4/(Table1123457910[[#This Row],[b (mm)]]*Z4^2)</f>
        <v>1.0197368421052632E-3</v>
      </c>
      <c r="J4" s="111">
        <f t="shared" si="2"/>
        <v>0.28252449305080884</v>
      </c>
      <c r="K4" s="111">
        <f t="shared" si="3"/>
        <v>4.8273552534287021E-7</v>
      </c>
      <c r="L4" s="111">
        <f>E4/(Table1123457910[[#This Row],[b (mm)]]*Z4)</f>
        <v>3.2894736842105262E-4</v>
      </c>
      <c r="M4" s="111">
        <f>Table1123457910[[#This Row],[M (KN.mm)]]/(Table1123457910[[#This Row],[b (mm)]]*Table1123457910[[#This Row],[d (mm)]])</f>
        <v>3.9157894736842107</v>
      </c>
      <c r="N4" s="111">
        <f>Table1123457910[[#This Row],[M (KN.mm)]]/(Table1123457910[[#This Row],[b (mm)]]*Table1123457910[[#This Row],[h (mm)]])</f>
        <v>3.759157894736842</v>
      </c>
      <c r="O4" s="111">
        <f>Table1123457910[[#This Row],[M (KN.mm)]]/(Table1123457910[[#This Row],[b (mm)]]*Table1123457910[[#This Row],[h (mm)]]*Table1123457910[[#This Row],[L(mm)]])</f>
        <v>1.5789473684210527E-4</v>
      </c>
      <c r="P4" s="111">
        <f>Table1123457910[[#This Row],[M (KN.mm)]]/(Table1123457910[[#This Row],[b (mm)]]*Table1123457910[[#This Row],[d (mm)]]*Table1123457910[[#This Row],[L(mm)]])</f>
        <v>1.6447368421052631E-4</v>
      </c>
      <c r="Q4" s="111">
        <f>Table1123457910[[#This Row],[M (KN.mm)]]/(Table1123457910[[#This Row],[b (mm)]]*Table1123457910[[#This Row],[h (mm)]]*Table1123457910[[#This Row],[L(mm)]]*Table1123457910[[#This Row],[fc (Mpa)]])</f>
        <v>3.9473684210526315E-6</v>
      </c>
      <c r="R4" s="111">
        <f>Table1123457910[[#This Row],[M (KN.mm)]]/(Table1123457910[[#This Row],[b (mm)]]*Table1123457910[[#This Row],[h (mm)]]*Table1123457910[[#This Row],[L(mm)]]/2)</f>
        <v>3.1578947368421053E-4</v>
      </c>
      <c r="S4" s="111">
        <f>Table1123457910[[#This Row],[M (KN.mm)]]/(Table1123457910[[#This Row],[a (mm)]]*Table1123457910[[#This Row],[b (mm)]]*Table1123457910[[#This Row],[h (mm)]]*Table1123457910[[#This Row],[L(mm)]]/2)</f>
        <v>2.6528013582342955E-8</v>
      </c>
      <c r="T4" s="111">
        <f>G4/($AL$5*AH4*0.001*Table1123457910[[#This Row],[pho (%)]])</f>
        <v>1.6219789494798873E-7</v>
      </c>
      <c r="U4" s="111">
        <f>Table1123457910[[#This Row],[M (KN.mm)]]/(Table1123457910[[#This Row],[b (mm)]]*Table1123457910[[#This Row],[d (mm)]]*Table1123457910[[#This Row],[pho (%)]])</f>
        <v>5.9330143540669855</v>
      </c>
      <c r="V4" s="111">
        <f>E4*224.8/(2*SQRT(Table1123457910[[#This Row],[fc (Mpa)]]*145.037)*Table1123457910[[#This Row],[b (mm)]]*Table1123457910[[#This Row],[d (mm)]]*(1/25.4)^2)</f>
        <v>0.31317765014864268</v>
      </c>
      <c r="W4" s="111">
        <f>Table1123457910[[#This Row],[M (KN.mm)]]/$G$11</f>
        <v>0.23126734505087881</v>
      </c>
      <c r="X4" s="111">
        <f t="shared" si="4"/>
        <v>0.31317765014864268</v>
      </c>
      <c r="Y4" s="111">
        <f>3.1*Table1123457910[[#This Row],[d (mm)]]</f>
        <v>11904</v>
      </c>
      <c r="Z4" s="111">
        <v>3840</v>
      </c>
      <c r="AA4" s="111">
        <v>4000</v>
      </c>
      <c r="AB4" s="111">
        <v>250</v>
      </c>
      <c r="AC4" s="7">
        <v>40</v>
      </c>
      <c r="AD4" s="111">
        <f>Table1123457910[[#This Row],[pho (%)]]*Table1123457910[[#This Row],[b (mm)]]*Table1123457910[[#This Row],[h (mm)]]/100</f>
        <v>6600</v>
      </c>
      <c r="AE4" s="111">
        <v>0.66</v>
      </c>
      <c r="AF4" s="111">
        <v>525</v>
      </c>
      <c r="AG4" s="111">
        <f>(1/3-0.21*(MIN(Table1123457910[[#This Row],[b (mm)]],AA4)/MAX(Table1123457910[[#This Row],[b (mm)]],AA4))*(MIN(Table1123457910[[#This Row],[b (mm)]],AA4)^4/(12*MAX(Table1123457910[[#This Row],[b (mm)]],AA4)^4)))*MAX(Table1123457910[[#This Row],[b (mm)]],AA4)*MIN(Table1123457910[[#This Row],[b (mm)]],AA4)^3</f>
        <v>20833332290.252048</v>
      </c>
      <c r="AH4" s="111">
        <f>Table1123457910[[#This Row],[b (mm)]]*AA4^3/12</f>
        <v>1333333333333.3333</v>
      </c>
      <c r="AI4" s="111">
        <f>Table1123457910[[#This Row],[a (mm)]]*2</f>
        <v>23808</v>
      </c>
      <c r="AJ4" s="138"/>
      <c r="AK4" s="126" t="s">
        <v>7</v>
      </c>
      <c r="AL4" s="107">
        <v>31.4</v>
      </c>
    </row>
    <row r="5" spans="1:44" x14ac:dyDescent="0.25">
      <c r="A5" s="178" t="s">
        <v>193</v>
      </c>
      <c r="B5" s="176">
        <v>4</v>
      </c>
      <c r="C5" s="176">
        <v>4</v>
      </c>
      <c r="D5" s="176">
        <f>Table1123457910[[#This Row],[a (mm)]]/Table1123457910[[#This Row],[d (mm)]]</f>
        <v>3.1</v>
      </c>
      <c r="E5" s="176">
        <f>625*12/19</f>
        <v>394.73684210526318</v>
      </c>
      <c r="F5" s="137">
        <f>Table1123457910[[#This Row],[d (mm)]]</f>
        <v>3840</v>
      </c>
      <c r="G5" s="111">
        <f t="shared" si="0"/>
        <v>4698947.3684210526</v>
      </c>
      <c r="H5" s="111">
        <f t="shared" si="1"/>
        <v>1.3381326333209071E-7</v>
      </c>
      <c r="I5" s="111">
        <f>G5/(Table1123457910[[#This Row],[b (mm)]]*Z5^2)</f>
        <v>1.274671052631579E-3</v>
      </c>
      <c r="J5" s="111">
        <f t="shared" si="2"/>
        <v>0.35315561631351106</v>
      </c>
      <c r="K5" s="111">
        <f t="shared" si="3"/>
        <v>6.0341940667858785E-7</v>
      </c>
      <c r="L5" s="111">
        <f>E5/(Table1123457910[[#This Row],[b (mm)]]*Z5)</f>
        <v>4.1118421052631582E-4</v>
      </c>
      <c r="M5" s="111">
        <f>Table1123457910[[#This Row],[M (KN.mm)]]/(Table1123457910[[#This Row],[b (mm)]]*Table1123457910[[#This Row],[d (mm)]])</f>
        <v>4.8947368421052628</v>
      </c>
      <c r="N5" s="111">
        <f>Table1123457910[[#This Row],[M (KN.mm)]]/(Table1123457910[[#This Row],[b (mm)]]*Table1123457910[[#This Row],[h (mm)]])</f>
        <v>4.6989473684210523</v>
      </c>
      <c r="O5" s="111">
        <f>Table1123457910[[#This Row],[M (KN.mm)]]/(Table1123457910[[#This Row],[b (mm)]]*Table1123457910[[#This Row],[h (mm)]]*Table1123457910[[#This Row],[L(mm)]])</f>
        <v>1.9736842105263157E-4</v>
      </c>
      <c r="P5" s="111">
        <f>Table1123457910[[#This Row],[M (KN.mm)]]/(Table1123457910[[#This Row],[b (mm)]]*Table1123457910[[#This Row],[d (mm)]]*Table1123457910[[#This Row],[L(mm)]])</f>
        <v>2.0559210526315788E-4</v>
      </c>
      <c r="Q5" s="111">
        <f>Table1123457910[[#This Row],[M (KN.mm)]]/(Table1123457910[[#This Row],[b (mm)]]*Table1123457910[[#This Row],[h (mm)]]*Table1123457910[[#This Row],[L(mm)]]*Table1123457910[[#This Row],[fc (Mpa)]])</f>
        <v>4.9342105263157895E-6</v>
      </c>
      <c r="R5" s="111">
        <f>Table1123457910[[#This Row],[M (KN.mm)]]/(Table1123457910[[#This Row],[b (mm)]]*Table1123457910[[#This Row],[h (mm)]]*Table1123457910[[#This Row],[L(mm)]]/2)</f>
        <v>3.9473684210526315E-4</v>
      </c>
      <c r="S5" s="111">
        <f>Table1123457910[[#This Row],[M (KN.mm)]]/(Table1123457910[[#This Row],[a (mm)]]*Table1123457910[[#This Row],[b (mm)]]*Table1123457910[[#This Row],[h (mm)]]*Table1123457910[[#This Row],[L(mm)]]/2)</f>
        <v>3.3160016977928693E-8</v>
      </c>
      <c r="T5" s="111">
        <f>G5/($AL$5*AH5*0.001*Table1123457910[[#This Row],[pho (%)]])</f>
        <v>2.027473686849859E-7</v>
      </c>
      <c r="U5" s="111">
        <f>Table1123457910[[#This Row],[M (KN.mm)]]/(Table1123457910[[#This Row],[b (mm)]]*Table1123457910[[#This Row],[d (mm)]]*Table1123457910[[#This Row],[pho (%)]])</f>
        <v>7.4162679425837323</v>
      </c>
      <c r="V5" s="111">
        <f>E5*224.8/(2*SQRT(Table1123457910[[#This Row],[fc (Mpa)]]*145.037)*Table1123457910[[#This Row],[b (mm)]]*Table1123457910[[#This Row],[d (mm)]]*(1/25.4)^2)</f>
        <v>0.39147206268580337</v>
      </c>
      <c r="W5" s="111">
        <f>Table1123457910[[#This Row],[M (KN.mm)]]/$G$11</f>
        <v>0.28908418131359853</v>
      </c>
      <c r="X5" s="111">
        <f t="shared" si="4"/>
        <v>0.39147206268580337</v>
      </c>
      <c r="Y5" s="111">
        <f>3.1*Table1123457910[[#This Row],[d (mm)]]</f>
        <v>11904</v>
      </c>
      <c r="Z5" s="111">
        <v>3840</v>
      </c>
      <c r="AA5" s="111">
        <v>4000</v>
      </c>
      <c r="AB5" s="111">
        <v>250</v>
      </c>
      <c r="AC5" s="7">
        <v>40</v>
      </c>
      <c r="AD5" s="111">
        <f>Table1123457910[[#This Row],[pho (%)]]*Table1123457910[[#This Row],[b (mm)]]*Table1123457910[[#This Row],[h (mm)]]/100</f>
        <v>6600</v>
      </c>
      <c r="AE5" s="111">
        <v>0.66</v>
      </c>
      <c r="AF5" s="111">
        <v>525</v>
      </c>
      <c r="AG5" s="111">
        <f>(1/3-0.21*(MIN(Table1123457910[[#This Row],[b (mm)]],AA5)/MAX(Table1123457910[[#This Row],[b (mm)]],AA5))*(MIN(Table1123457910[[#This Row],[b (mm)]],AA5)^4/(12*MAX(Table1123457910[[#This Row],[b (mm)]],AA5)^4)))*MAX(Table1123457910[[#This Row],[b (mm)]],AA5)*MIN(Table1123457910[[#This Row],[b (mm)]],AA5)^3</f>
        <v>20833332290.252048</v>
      </c>
      <c r="AH5" s="111">
        <f>Table1123457910[[#This Row],[b (mm)]]*AA5^3/12</f>
        <v>1333333333333.3333</v>
      </c>
      <c r="AI5" s="111">
        <f>Table1123457910[[#This Row],[a (mm)]]*2</f>
        <v>23808</v>
      </c>
      <c r="AJ5" s="138"/>
      <c r="AK5" s="126" t="s">
        <v>8</v>
      </c>
      <c r="AL5" s="107">
        <f>4700*SQRT(AL4)</f>
        <v>26336.780365109171</v>
      </c>
    </row>
    <row r="6" spans="1:44" x14ac:dyDescent="0.25">
      <c r="A6" s="178" t="s">
        <v>193</v>
      </c>
      <c r="B6" s="176">
        <v>5</v>
      </c>
      <c r="C6" s="176">
        <v>5</v>
      </c>
      <c r="D6" s="176">
        <f>Table1123457910[[#This Row],[a (mm)]]/Table1123457910[[#This Row],[d (mm)]]</f>
        <v>3.1</v>
      </c>
      <c r="E6" s="176">
        <f>685*12/19</f>
        <v>432.63157894736844</v>
      </c>
      <c r="F6" s="137">
        <f>Table1123457910[[#This Row],[d (mm)]]</f>
        <v>3840</v>
      </c>
      <c r="G6" s="111">
        <f t="shared" si="0"/>
        <v>5150046.3157894742</v>
      </c>
      <c r="H6" s="111">
        <f t="shared" si="1"/>
        <v>1.4665933661197142E-7</v>
      </c>
      <c r="I6" s="111">
        <f>G6/(Table1123457910[[#This Row],[b (mm)]]*Z6^2)</f>
        <v>1.3970394736842107E-3</v>
      </c>
      <c r="J6" s="111">
        <f t="shared" si="2"/>
        <v>0.38705855547960816</v>
      </c>
      <c r="K6" s="111">
        <f t="shared" si="3"/>
        <v>6.613476697197323E-7</v>
      </c>
      <c r="L6" s="111">
        <f>E6/(Table1123457910[[#This Row],[b (mm)]]*Z6)</f>
        <v>4.506578947368421E-4</v>
      </c>
      <c r="M6" s="111">
        <f>Table1123457910[[#This Row],[M (KN.mm)]]/(Table1123457910[[#This Row],[b (mm)]]*Table1123457910[[#This Row],[d (mm)]])</f>
        <v>5.3646315789473693</v>
      </c>
      <c r="N6" s="111">
        <f>Table1123457910[[#This Row],[M (KN.mm)]]/(Table1123457910[[#This Row],[b (mm)]]*Table1123457910[[#This Row],[h (mm)]])</f>
        <v>5.1500463157894742</v>
      </c>
      <c r="O6" s="111">
        <f>Table1123457910[[#This Row],[M (KN.mm)]]/(Table1123457910[[#This Row],[b (mm)]]*Table1123457910[[#This Row],[h (mm)]]*Table1123457910[[#This Row],[L(mm)]])</f>
        <v>2.1631578947368423E-4</v>
      </c>
      <c r="P6" s="111">
        <f>Table1123457910[[#This Row],[M (KN.mm)]]/(Table1123457910[[#This Row],[b (mm)]]*Table1123457910[[#This Row],[d (mm)]]*Table1123457910[[#This Row],[L(mm)]])</f>
        <v>2.2532894736842108E-4</v>
      </c>
      <c r="Q6" s="111">
        <f>Table1123457910[[#This Row],[M (KN.mm)]]/(Table1123457910[[#This Row],[b (mm)]]*Table1123457910[[#This Row],[h (mm)]]*Table1123457910[[#This Row],[L(mm)]]*Table1123457910[[#This Row],[fc (Mpa)]])</f>
        <v>5.4078947368421056E-6</v>
      </c>
      <c r="R6" s="111">
        <f>Table1123457910[[#This Row],[M (KN.mm)]]/(Table1123457910[[#This Row],[b (mm)]]*Table1123457910[[#This Row],[h (mm)]]*Table1123457910[[#This Row],[L(mm)]]/2)</f>
        <v>4.3263157894736845E-4</v>
      </c>
      <c r="S6" s="111">
        <f>Table1123457910[[#This Row],[M (KN.mm)]]/(Table1123457910[[#This Row],[a (mm)]]*Table1123457910[[#This Row],[b (mm)]]*Table1123457910[[#This Row],[h (mm)]]*Table1123457910[[#This Row],[L(mm)]]/2)</f>
        <v>3.634337860780985E-8</v>
      </c>
      <c r="T6" s="111">
        <f>G6/($AL$5*AH6*0.001*Table1123457910[[#This Row],[pho (%)]])</f>
        <v>2.2221111607874458E-7</v>
      </c>
      <c r="U6" s="111">
        <f>Table1123457910[[#This Row],[M (KN.mm)]]/(Table1123457910[[#This Row],[b (mm)]]*Table1123457910[[#This Row],[d (mm)]]*Table1123457910[[#This Row],[pho (%)]])</f>
        <v>8.1282296650717711</v>
      </c>
      <c r="V6" s="111">
        <f>E6*224.8/(2*SQRT(Table1123457910[[#This Row],[fc (Mpa)]]*145.037)*Table1123457910[[#This Row],[b (mm)]]*Table1123457910[[#This Row],[d (mm)]]*(1/25.4)^2)</f>
        <v>0.42905338070364046</v>
      </c>
      <c r="W6" s="111">
        <f>Table1123457910[[#This Row],[M (KN.mm)]]/$G$11</f>
        <v>0.316836262719704</v>
      </c>
      <c r="X6" s="111">
        <f t="shared" si="4"/>
        <v>0.42905338070364046</v>
      </c>
      <c r="Y6" s="111">
        <f>3.1*Table1123457910[[#This Row],[d (mm)]]</f>
        <v>11904</v>
      </c>
      <c r="Z6" s="111">
        <v>3840</v>
      </c>
      <c r="AA6" s="111">
        <v>4000</v>
      </c>
      <c r="AB6" s="111">
        <v>250</v>
      </c>
      <c r="AC6" s="7">
        <v>40</v>
      </c>
      <c r="AD6" s="111">
        <f>Table1123457910[[#This Row],[pho (%)]]*Table1123457910[[#This Row],[b (mm)]]*Table1123457910[[#This Row],[h (mm)]]/100</f>
        <v>6600</v>
      </c>
      <c r="AE6" s="111">
        <v>0.66</v>
      </c>
      <c r="AF6" s="111">
        <v>525</v>
      </c>
      <c r="AG6" s="111">
        <f>(1/3-0.21*(MIN(Table1123457910[[#This Row],[b (mm)]],AA6)/MAX(Table1123457910[[#This Row],[b (mm)]],AA6))*(MIN(Table1123457910[[#This Row],[b (mm)]],AA6)^4/(12*MAX(Table1123457910[[#This Row],[b (mm)]],AA6)^4)))*MAX(Table1123457910[[#This Row],[b (mm)]],AA6)*MIN(Table1123457910[[#This Row],[b (mm)]],AA6)^3</f>
        <v>20833332290.252048</v>
      </c>
      <c r="AH6" s="111">
        <f>Table1123457910[[#This Row],[b (mm)]]*AA6^3/12</f>
        <v>1333333333333.3333</v>
      </c>
      <c r="AI6" s="111">
        <f>Table1123457910[[#This Row],[a (mm)]]*2</f>
        <v>23808</v>
      </c>
      <c r="AJ6" s="138"/>
      <c r="AK6" s="126" t="s">
        <v>16</v>
      </c>
      <c r="AL6" s="107">
        <f>AL5/(2*(1+0.15))</f>
        <v>11450.774071786596</v>
      </c>
    </row>
    <row r="7" spans="1:44" x14ac:dyDescent="0.25">
      <c r="A7" s="178" t="s">
        <v>193</v>
      </c>
      <c r="B7" s="176">
        <v>7</v>
      </c>
      <c r="C7" s="176">
        <v>6</v>
      </c>
      <c r="D7" s="176">
        <f>Table1123457910[[#This Row],[a (mm)]]/Table1123457910[[#This Row],[d (mm)]]</f>
        <v>3.1</v>
      </c>
      <c r="E7" s="176">
        <f>1000*12/19</f>
        <v>631.57894736842104</v>
      </c>
      <c r="F7" s="137">
        <f>Table1123457910[[#This Row],[d (mm)]]</f>
        <v>3840</v>
      </c>
      <c r="G7" s="111">
        <f t="shared" si="0"/>
        <v>7518315.7894736845</v>
      </c>
      <c r="H7" s="111">
        <f t="shared" si="1"/>
        <v>2.1410122133134513E-7</v>
      </c>
      <c r="I7" s="111">
        <f>G7/(Table1123457910[[#This Row],[b (mm)]]*Z7^2)</f>
        <v>2.0394736842105263E-3</v>
      </c>
      <c r="J7" s="111">
        <f t="shared" si="2"/>
        <v>0.56504898610161769</v>
      </c>
      <c r="K7" s="111">
        <f t="shared" si="3"/>
        <v>9.6547105068574043E-7</v>
      </c>
      <c r="L7" s="111">
        <f>E7/(Table1123457910[[#This Row],[b (mm)]]*Z7)</f>
        <v>6.5789473684210525E-4</v>
      </c>
      <c r="M7" s="111">
        <f>Table1123457910[[#This Row],[M (KN.mm)]]/(Table1123457910[[#This Row],[b (mm)]]*Table1123457910[[#This Row],[d (mm)]])</f>
        <v>7.8315789473684214</v>
      </c>
      <c r="N7" s="111">
        <f>Table1123457910[[#This Row],[M (KN.mm)]]/(Table1123457910[[#This Row],[b (mm)]]*Table1123457910[[#This Row],[h (mm)]])</f>
        <v>7.5183157894736841</v>
      </c>
      <c r="O7" s="111">
        <f>Table1123457910[[#This Row],[M (KN.mm)]]/(Table1123457910[[#This Row],[b (mm)]]*Table1123457910[[#This Row],[h (mm)]]*Table1123457910[[#This Row],[L(mm)]])</f>
        <v>3.1578947368421053E-4</v>
      </c>
      <c r="P7" s="111">
        <f>Table1123457910[[#This Row],[M (KN.mm)]]/(Table1123457910[[#This Row],[b (mm)]]*Table1123457910[[#This Row],[d (mm)]]*Table1123457910[[#This Row],[L(mm)]])</f>
        <v>3.2894736842105262E-4</v>
      </c>
      <c r="Q7" s="111">
        <f>Table1123457910[[#This Row],[M (KN.mm)]]/(Table1123457910[[#This Row],[b (mm)]]*Table1123457910[[#This Row],[h (mm)]]*Table1123457910[[#This Row],[L(mm)]]*Table1123457910[[#This Row],[fc (Mpa)]])</f>
        <v>7.8947368421052629E-6</v>
      </c>
      <c r="R7" s="111">
        <f>Table1123457910[[#This Row],[M (KN.mm)]]/(Table1123457910[[#This Row],[b (mm)]]*Table1123457910[[#This Row],[h (mm)]]*Table1123457910[[#This Row],[L(mm)]]/2)</f>
        <v>6.3157894736842106E-4</v>
      </c>
      <c r="S7" s="111">
        <f>Table1123457910[[#This Row],[M (KN.mm)]]/(Table1123457910[[#This Row],[a (mm)]]*Table1123457910[[#This Row],[b (mm)]]*Table1123457910[[#This Row],[h (mm)]]*Table1123457910[[#This Row],[L(mm)]]/2)</f>
        <v>5.305602716468591E-8</v>
      </c>
      <c r="T7" s="111">
        <f>G7/($AL$5*AH7*0.001*Table1123457910[[#This Row],[pho (%)]])</f>
        <v>3.2439578989597747E-7</v>
      </c>
      <c r="U7" s="111">
        <f>Table1123457910[[#This Row],[M (KN.mm)]]/(Table1123457910[[#This Row],[b (mm)]]*Table1123457910[[#This Row],[d (mm)]]*Table1123457910[[#This Row],[pho (%)]])</f>
        <v>11.866028708133971</v>
      </c>
      <c r="V7" s="111">
        <f>E7*224.8/(2*SQRT(Table1123457910[[#This Row],[fc (Mpa)]]*145.037)*Table1123457910[[#This Row],[b (mm)]]*Table1123457910[[#This Row],[d (mm)]]*(1/25.4)^2)</f>
        <v>0.62635530029728537</v>
      </c>
      <c r="W7" s="111">
        <f>Table1123457910[[#This Row],[M (KN.mm)]]/$G$11</f>
        <v>0.46253469010175763</v>
      </c>
      <c r="X7" s="111">
        <f t="shared" si="4"/>
        <v>0.62635530029728537</v>
      </c>
      <c r="Y7" s="111">
        <f>3.1*Table1123457910[[#This Row],[d (mm)]]</f>
        <v>11904</v>
      </c>
      <c r="Z7" s="111">
        <v>3840</v>
      </c>
      <c r="AA7" s="111">
        <v>4000</v>
      </c>
      <c r="AB7" s="111">
        <v>250</v>
      </c>
      <c r="AC7" s="7">
        <v>40</v>
      </c>
      <c r="AD7" s="111">
        <f>Table1123457910[[#This Row],[pho (%)]]*Table1123457910[[#This Row],[b (mm)]]*Table1123457910[[#This Row],[h (mm)]]/100</f>
        <v>6600</v>
      </c>
      <c r="AE7" s="111">
        <v>0.66</v>
      </c>
      <c r="AF7" s="111">
        <v>525</v>
      </c>
      <c r="AG7" s="111">
        <f>(1/3-0.21*(MIN(Table1123457910[[#This Row],[b (mm)]],AA7)/MAX(Table1123457910[[#This Row],[b (mm)]],AA7))*(MIN(Table1123457910[[#This Row],[b (mm)]],AA7)^4/(12*MAX(Table1123457910[[#This Row],[b (mm)]],AA7)^4)))*MAX(Table1123457910[[#This Row],[b (mm)]],AA7)*MIN(Table1123457910[[#This Row],[b (mm)]],AA7)^3</f>
        <v>20833332290.252048</v>
      </c>
      <c r="AH7" s="111">
        <f>Table1123457910[[#This Row],[b (mm)]]*AA7^3/12</f>
        <v>1333333333333.3333</v>
      </c>
      <c r="AI7" s="111">
        <f>Table1123457910[[#This Row],[a (mm)]]*2</f>
        <v>23808</v>
      </c>
      <c r="AJ7" s="138"/>
      <c r="AK7" s="107"/>
    </row>
    <row r="8" spans="1:44" x14ac:dyDescent="0.25">
      <c r="A8" s="178" t="s">
        <v>193</v>
      </c>
      <c r="B8" s="176">
        <v>8</v>
      </c>
      <c r="C8" s="176">
        <v>7</v>
      </c>
      <c r="D8" s="176">
        <f>Table1123457910[[#This Row],[a (mm)]]/Table1123457910[[#This Row],[d (mm)]]</f>
        <v>3.1</v>
      </c>
      <c r="E8" s="176">
        <f>1375*12/19</f>
        <v>868.42105263157896</v>
      </c>
      <c r="F8" s="137">
        <f>Table1123457910[[#This Row],[d (mm)]]</f>
        <v>3840</v>
      </c>
      <c r="G8" s="111">
        <f t="shared" si="0"/>
        <v>10337684.210526315</v>
      </c>
      <c r="H8" s="111">
        <f t="shared" si="1"/>
        <v>2.9438917933059952E-7</v>
      </c>
      <c r="I8" s="111">
        <f>G8/(Table1123457910[[#This Row],[b (mm)]]*Z8^2)</f>
        <v>2.8042763157894736E-3</v>
      </c>
      <c r="J8" s="111">
        <f t="shared" si="2"/>
        <v>0.77694235588972427</v>
      </c>
      <c r="K8" s="111">
        <f t="shared" si="3"/>
        <v>1.3275226946928932E-6</v>
      </c>
      <c r="L8" s="111">
        <f>E8/(Table1123457910[[#This Row],[b (mm)]]*Z8)</f>
        <v>9.0460526315789473E-4</v>
      </c>
      <c r="M8" s="111">
        <f>Table1123457910[[#This Row],[M (KN.mm)]]/(Table1123457910[[#This Row],[b (mm)]]*Table1123457910[[#This Row],[d (mm)]])</f>
        <v>10.768421052631579</v>
      </c>
      <c r="N8" s="111">
        <f>Table1123457910[[#This Row],[M (KN.mm)]]/(Table1123457910[[#This Row],[b (mm)]]*Table1123457910[[#This Row],[h (mm)]])</f>
        <v>10.337684210526316</v>
      </c>
      <c r="O8" s="111">
        <f>Table1123457910[[#This Row],[M (KN.mm)]]/(Table1123457910[[#This Row],[b (mm)]]*Table1123457910[[#This Row],[h (mm)]]*Table1123457910[[#This Row],[L(mm)]])</f>
        <v>4.3421052631578949E-4</v>
      </c>
      <c r="P8" s="111">
        <f>Table1123457910[[#This Row],[M (KN.mm)]]/(Table1123457910[[#This Row],[b (mm)]]*Table1123457910[[#This Row],[d (mm)]]*Table1123457910[[#This Row],[L(mm)]])</f>
        <v>4.5230263157894736E-4</v>
      </c>
      <c r="Q8" s="111">
        <f>Table1123457910[[#This Row],[M (KN.mm)]]/(Table1123457910[[#This Row],[b (mm)]]*Table1123457910[[#This Row],[h (mm)]]*Table1123457910[[#This Row],[L(mm)]]*Table1123457910[[#This Row],[fc (Mpa)]])</f>
        <v>1.0855263157894737E-5</v>
      </c>
      <c r="R8" s="111">
        <f>Table1123457910[[#This Row],[M (KN.mm)]]/(Table1123457910[[#This Row],[b (mm)]]*Table1123457910[[#This Row],[h (mm)]]*Table1123457910[[#This Row],[L(mm)]]/2)</f>
        <v>8.6842105263157897E-4</v>
      </c>
      <c r="S8" s="111">
        <f>Table1123457910[[#This Row],[M (KN.mm)]]/(Table1123457910[[#This Row],[a (mm)]]*Table1123457910[[#This Row],[b (mm)]]*Table1123457910[[#This Row],[h (mm)]]*Table1123457910[[#This Row],[L(mm)]]/2)</f>
        <v>7.2952037351443121E-8</v>
      </c>
      <c r="T8" s="111">
        <f>G8/($AL$5*AH8*0.001*Table1123457910[[#This Row],[pho (%)]])</f>
        <v>4.46044211106969E-7</v>
      </c>
      <c r="U8" s="111">
        <f>Table1123457910[[#This Row],[M (KN.mm)]]/(Table1123457910[[#This Row],[b (mm)]]*Table1123457910[[#This Row],[d (mm)]]*Table1123457910[[#This Row],[pho (%)]])</f>
        <v>16.315789473684209</v>
      </c>
      <c r="V8" s="111">
        <f>E8*224.8/(2*SQRT(Table1123457910[[#This Row],[fc (Mpa)]]*145.037)*Table1123457910[[#This Row],[b (mm)]]*Table1123457910[[#This Row],[d (mm)]]*(1/25.4)^2)</f>
        <v>0.86123853790876737</v>
      </c>
      <c r="W8" s="111">
        <f>Table1123457910[[#This Row],[M (KN.mm)]]/$G$11</f>
        <v>0.63598519888991678</v>
      </c>
      <c r="X8" s="111">
        <f t="shared" si="4"/>
        <v>0.86123853790876737</v>
      </c>
      <c r="Y8" s="111">
        <f>3.1*Table1123457910[[#This Row],[d (mm)]]</f>
        <v>11904</v>
      </c>
      <c r="Z8" s="111">
        <v>3840</v>
      </c>
      <c r="AA8" s="111">
        <v>4000</v>
      </c>
      <c r="AB8" s="111">
        <v>250</v>
      </c>
      <c r="AC8" s="7">
        <v>40</v>
      </c>
      <c r="AD8" s="111">
        <f>Table1123457910[[#This Row],[pho (%)]]*Table1123457910[[#This Row],[b (mm)]]*Table1123457910[[#This Row],[h (mm)]]/100</f>
        <v>6600</v>
      </c>
      <c r="AE8" s="111">
        <v>0.66</v>
      </c>
      <c r="AF8" s="111">
        <v>525</v>
      </c>
      <c r="AG8" s="111">
        <f>(1/3-0.21*(MIN(Table1123457910[[#This Row],[b (mm)]],AA8)/MAX(Table1123457910[[#This Row],[b (mm)]],AA8))*(MIN(Table1123457910[[#This Row],[b (mm)]],AA8)^4/(12*MAX(Table1123457910[[#This Row],[b (mm)]],AA8)^4)))*MAX(Table1123457910[[#This Row],[b (mm)]],AA8)*MIN(Table1123457910[[#This Row],[b (mm)]],AA8)^3</f>
        <v>20833332290.252048</v>
      </c>
      <c r="AH8" s="111">
        <f>Table1123457910[[#This Row],[b (mm)]]*AA8^3/12</f>
        <v>1333333333333.3333</v>
      </c>
      <c r="AI8" s="111">
        <f>Table1123457910[[#This Row],[a (mm)]]*2</f>
        <v>23808</v>
      </c>
      <c r="AJ8"/>
      <c r="AK8"/>
      <c r="AL8"/>
      <c r="AM8"/>
    </row>
    <row r="9" spans="1:44" x14ac:dyDescent="0.25">
      <c r="A9" s="178" t="s">
        <v>193</v>
      </c>
      <c r="B9" s="176">
        <v>9</v>
      </c>
      <c r="C9" s="176">
        <v>8</v>
      </c>
      <c r="D9" s="176">
        <f>Table1123457910[[#This Row],[a (mm)]]/Table1123457910[[#This Row],[d (mm)]]</f>
        <v>3.1</v>
      </c>
      <c r="E9" s="176">
        <f>1750*12/19</f>
        <v>1105.2631578947369</v>
      </c>
      <c r="F9" s="137">
        <f>Table1123457910[[#This Row],[d (mm)]]</f>
        <v>3840</v>
      </c>
      <c r="G9" s="111">
        <f t="shared" si="0"/>
        <v>13157052.631578948</v>
      </c>
      <c r="H9" s="111">
        <f t="shared" si="1"/>
        <v>3.7467713732985401E-7</v>
      </c>
      <c r="I9" s="111">
        <f>G9/(Table1123457910[[#This Row],[b (mm)]]*Z9^2)</f>
        <v>3.5690789473684214E-3</v>
      </c>
      <c r="J9" s="111">
        <f t="shared" si="2"/>
        <v>0.98883572567783107</v>
      </c>
      <c r="K9" s="111">
        <f t="shared" si="3"/>
        <v>1.689574338700046E-6</v>
      </c>
      <c r="L9" s="111">
        <f>E9/(Table1123457910[[#This Row],[b (mm)]]*Z9)</f>
        <v>1.1513157894736843E-3</v>
      </c>
      <c r="M9" s="111">
        <f>Table1123457910[[#This Row],[M (KN.mm)]]/(Table1123457910[[#This Row],[b (mm)]]*Table1123457910[[#This Row],[d (mm)]])</f>
        <v>13.705263157894738</v>
      </c>
      <c r="N9" s="111">
        <f>Table1123457910[[#This Row],[M (KN.mm)]]/(Table1123457910[[#This Row],[b (mm)]]*Table1123457910[[#This Row],[h (mm)]])</f>
        <v>13.157052631578948</v>
      </c>
      <c r="O9" s="111">
        <f>Table1123457910[[#This Row],[M (KN.mm)]]/(Table1123457910[[#This Row],[b (mm)]]*Table1123457910[[#This Row],[h (mm)]]*Table1123457910[[#This Row],[L(mm)]])</f>
        <v>5.526315789473685E-4</v>
      </c>
      <c r="P9" s="111">
        <f>Table1123457910[[#This Row],[M (KN.mm)]]/(Table1123457910[[#This Row],[b (mm)]]*Table1123457910[[#This Row],[d (mm)]]*Table1123457910[[#This Row],[L(mm)]])</f>
        <v>5.7565789473684216E-4</v>
      </c>
      <c r="Q9" s="111">
        <f>Table1123457910[[#This Row],[M (KN.mm)]]/(Table1123457910[[#This Row],[b (mm)]]*Table1123457910[[#This Row],[h (mm)]]*Table1123457910[[#This Row],[L(mm)]]*Table1123457910[[#This Row],[fc (Mpa)]])</f>
        <v>1.3815789473684211E-5</v>
      </c>
      <c r="R9" s="111">
        <f>Table1123457910[[#This Row],[M (KN.mm)]]/(Table1123457910[[#This Row],[b (mm)]]*Table1123457910[[#This Row],[h (mm)]]*Table1123457910[[#This Row],[L(mm)]]/2)</f>
        <v>1.105263157894737E-3</v>
      </c>
      <c r="S9" s="111">
        <f>Table1123457910[[#This Row],[M (KN.mm)]]/(Table1123457910[[#This Row],[a (mm)]]*Table1123457910[[#This Row],[b (mm)]]*Table1123457910[[#This Row],[h (mm)]]*Table1123457910[[#This Row],[L(mm)]]/2)</f>
        <v>9.2848047538200351E-8</v>
      </c>
      <c r="T9" s="111">
        <f>G9/($AL$5*AH9*0.001*Table1123457910[[#This Row],[pho (%)]])</f>
        <v>5.6769263231796065E-7</v>
      </c>
      <c r="U9" s="111">
        <f>Table1123457910[[#This Row],[M (KN.mm)]]/(Table1123457910[[#This Row],[b (mm)]]*Table1123457910[[#This Row],[d (mm)]]*Table1123457910[[#This Row],[pho (%)]])</f>
        <v>20.76555023923445</v>
      </c>
      <c r="V9" s="111">
        <f>E9*224.8/(2*SQRT(Table1123457910[[#This Row],[fc (Mpa)]]*145.037)*Table1123457910[[#This Row],[b (mm)]]*Table1123457910[[#This Row],[d (mm)]]*(1/25.4)^2)</f>
        <v>1.0961217755202495</v>
      </c>
      <c r="W9" s="111">
        <f>Table1123457910[[#This Row],[M (KN.mm)]]/$G$11</f>
        <v>0.80943570767807593</v>
      </c>
      <c r="X9" s="111">
        <f t="shared" si="4"/>
        <v>1.0961217755202495</v>
      </c>
      <c r="Y9" s="111">
        <f>3.1*Table1123457910[[#This Row],[d (mm)]]</f>
        <v>11904</v>
      </c>
      <c r="Z9" s="111">
        <v>3840</v>
      </c>
      <c r="AA9" s="111">
        <v>4000</v>
      </c>
      <c r="AB9" s="111">
        <v>250</v>
      </c>
      <c r="AC9" s="7">
        <v>40</v>
      </c>
      <c r="AD9" s="111">
        <f>Table1123457910[[#This Row],[pho (%)]]*Table1123457910[[#This Row],[b (mm)]]*Table1123457910[[#This Row],[h (mm)]]/100</f>
        <v>6600</v>
      </c>
      <c r="AE9" s="111">
        <v>0.66</v>
      </c>
      <c r="AF9" s="111">
        <v>525</v>
      </c>
      <c r="AG9" s="111">
        <f>(1/3-0.21*(MIN(Table1123457910[[#This Row],[b (mm)]],AA9)/MAX(Table1123457910[[#This Row],[b (mm)]],AA9))*(MIN(Table1123457910[[#This Row],[b (mm)]],AA9)^4/(12*MAX(Table1123457910[[#This Row],[b (mm)]],AA9)^4)))*MAX(Table1123457910[[#This Row],[b (mm)]],AA9)*MIN(Table1123457910[[#This Row],[b (mm)]],AA9)^3</f>
        <v>20833332290.252048</v>
      </c>
      <c r="AH9" s="111">
        <f>Table1123457910[[#This Row],[b (mm)]]*AA9^3/12</f>
        <v>1333333333333.3333</v>
      </c>
      <c r="AI9" s="111">
        <f>Table1123457910[[#This Row],[a (mm)]]*2</f>
        <v>23808</v>
      </c>
      <c r="AJ9"/>
      <c r="AK9"/>
      <c r="AL9"/>
      <c r="AM9"/>
    </row>
    <row r="10" spans="1:44" ht="12.75" customHeight="1" x14ac:dyDescent="0.25">
      <c r="A10" s="178" t="s">
        <v>193</v>
      </c>
      <c r="B10" s="176">
        <v>10</v>
      </c>
      <c r="C10" s="176">
        <v>9</v>
      </c>
      <c r="D10" s="176">
        <f>Table1123457910[[#This Row],[a (mm)]]/Table1123457910[[#This Row],[d (mm)]]</f>
        <v>3.1</v>
      </c>
      <c r="E10" s="176">
        <f>2019*12/19</f>
        <v>1275.1578947368421</v>
      </c>
      <c r="F10" s="137">
        <f>Table1123457910[[#This Row],[d (mm)]]</f>
        <v>3840</v>
      </c>
      <c r="G10" s="111">
        <f t="shared" si="0"/>
        <v>15179479.578947369</v>
      </c>
      <c r="H10" s="111">
        <f t="shared" si="1"/>
        <v>4.3227036586798584E-7</v>
      </c>
      <c r="I10" s="111">
        <f>G10/(Table1123457910[[#This Row],[b (mm)]]*Z10^2)</f>
        <v>4.1176973684210524E-3</v>
      </c>
      <c r="J10" s="111">
        <f t="shared" si="2"/>
        <v>1.1408339029391661</v>
      </c>
      <c r="K10" s="111">
        <f t="shared" si="3"/>
        <v>1.9492860513345103E-6</v>
      </c>
      <c r="L10" s="111">
        <f>E10/(Table1123457910[[#This Row],[b (mm)]]*Z10)</f>
        <v>1.3282894736842104E-3</v>
      </c>
      <c r="M10" s="111">
        <f>Table1123457910[[#This Row],[M (KN.mm)]]/(Table1123457910[[#This Row],[b (mm)]]*Table1123457910[[#This Row],[d (mm)]])</f>
        <v>15.811957894736842</v>
      </c>
      <c r="N10" s="111">
        <f>Table1123457910[[#This Row],[M (KN.mm)]]/(Table1123457910[[#This Row],[b (mm)]]*Table1123457910[[#This Row],[h (mm)]])</f>
        <v>15.179479578947369</v>
      </c>
      <c r="O10" s="111">
        <f>Table1123457910[[#This Row],[M (KN.mm)]]/(Table1123457910[[#This Row],[b (mm)]]*Table1123457910[[#This Row],[h (mm)]]*Table1123457910[[#This Row],[L(mm)]])</f>
        <v>6.375789473684211E-4</v>
      </c>
      <c r="P10" s="111">
        <f>Table1123457910[[#This Row],[M (KN.mm)]]/(Table1123457910[[#This Row],[b (mm)]]*Table1123457910[[#This Row],[d (mm)]]*Table1123457910[[#This Row],[L(mm)]])</f>
        <v>6.6414473684210532E-4</v>
      </c>
      <c r="Q10" s="111">
        <f>Table1123457910[[#This Row],[M (KN.mm)]]/(Table1123457910[[#This Row],[b (mm)]]*Table1123457910[[#This Row],[h (mm)]]*Table1123457910[[#This Row],[L(mm)]]*Table1123457910[[#This Row],[fc (Mpa)]])</f>
        <v>1.5939473684210526E-5</v>
      </c>
      <c r="R10" s="111">
        <f>Table1123457910[[#This Row],[M (KN.mm)]]/(Table1123457910[[#This Row],[b (mm)]]*Table1123457910[[#This Row],[h (mm)]]*Table1123457910[[#This Row],[L(mm)]]/2)</f>
        <v>1.2751578947368422E-3</v>
      </c>
      <c r="S10" s="111">
        <f>Table1123457910[[#This Row],[M (KN.mm)]]/(Table1123457910[[#This Row],[a (mm)]]*Table1123457910[[#This Row],[b (mm)]]*Table1123457910[[#This Row],[h (mm)]]*Table1123457910[[#This Row],[L(mm)]]/2)</f>
        <v>1.0712011884550085E-7</v>
      </c>
      <c r="T10" s="111">
        <f>G10/($AL$5*AH10*0.001*Table1123457910[[#This Row],[pho (%)]])</f>
        <v>6.5495509979997851E-7</v>
      </c>
      <c r="U10" s="111">
        <f>Table1123457910[[#This Row],[M (KN.mm)]]/(Table1123457910[[#This Row],[b (mm)]]*Table1123457910[[#This Row],[d (mm)]]*Table1123457910[[#This Row],[pho (%)]])</f>
        <v>23.957511961722489</v>
      </c>
      <c r="V10" s="111">
        <f>E10*224.8/(2*SQRT(Table1123457910[[#This Row],[fc (Mpa)]]*145.037)*Table1123457910[[#This Row],[b (mm)]]*Table1123457910[[#This Row],[d (mm)]]*(1/25.4)^2)</f>
        <v>1.2646113513002191</v>
      </c>
      <c r="W10" s="111">
        <f>Table1123457910[[#This Row],[M (KN.mm)]]/$G$11</f>
        <v>0.93385753931544868</v>
      </c>
      <c r="X10" s="111">
        <f t="shared" si="4"/>
        <v>1.2646113513002191</v>
      </c>
      <c r="Y10" s="111">
        <f>3.1*Table1123457910[[#This Row],[d (mm)]]</f>
        <v>11904</v>
      </c>
      <c r="Z10" s="111">
        <v>3840</v>
      </c>
      <c r="AA10" s="111">
        <v>4000</v>
      </c>
      <c r="AB10" s="111">
        <v>250</v>
      </c>
      <c r="AC10" s="7">
        <v>40</v>
      </c>
      <c r="AD10" s="111">
        <f>Table1123457910[[#This Row],[pho (%)]]*Table1123457910[[#This Row],[b (mm)]]*Table1123457910[[#This Row],[h (mm)]]/100</f>
        <v>6600</v>
      </c>
      <c r="AE10" s="111">
        <v>0.66</v>
      </c>
      <c r="AF10" s="111">
        <v>525</v>
      </c>
      <c r="AG10" s="111">
        <f>(1/3-0.21*(MIN(Table1123457910[[#This Row],[b (mm)]],AA10)/MAX(Table1123457910[[#This Row],[b (mm)]],AA10))*(MIN(Table1123457910[[#This Row],[b (mm)]],AA10)^4/(12*MAX(Table1123457910[[#This Row],[b (mm)]],AA10)^4)))*MAX(Table1123457910[[#This Row],[b (mm)]],AA10)*MIN(Table1123457910[[#This Row],[b (mm)]],AA10)^3</f>
        <v>20833332290.252048</v>
      </c>
      <c r="AH10" s="111">
        <f>Table1123457910[[#This Row],[b (mm)]]*AA10^3/12</f>
        <v>1333333333333.3333</v>
      </c>
      <c r="AI10" s="111">
        <f>Table1123457910[[#This Row],[a (mm)]]*2</f>
        <v>23808</v>
      </c>
      <c r="AJ10"/>
      <c r="AK10"/>
      <c r="AL10"/>
      <c r="AM10"/>
    </row>
    <row r="11" spans="1:44" x14ac:dyDescent="0.25">
      <c r="A11" s="178" t="s">
        <v>193</v>
      </c>
      <c r="B11" s="176">
        <v>11</v>
      </c>
      <c r="C11" s="176">
        <v>10</v>
      </c>
      <c r="D11" s="176">
        <f>Table1123457910[[#This Row],[a (mm)]]/Table1123457910[[#This Row],[d (mm)]]</f>
        <v>3.1</v>
      </c>
      <c r="E11" s="176">
        <f>2162*12/19</f>
        <v>1365.4736842105262</v>
      </c>
      <c r="F11" s="137">
        <f>Table1123457910[[#This Row],[d (mm)]]</f>
        <v>3840</v>
      </c>
      <c r="G11" s="111">
        <f t="shared" si="0"/>
        <v>16254598.736842105</v>
      </c>
      <c r="H11" s="111">
        <f t="shared" si="1"/>
        <v>4.6288684051836819E-7</v>
      </c>
      <c r="I11" s="111">
        <f>G11/(Table1123457910[[#This Row],[b (mm)]]*Z11^2)</f>
        <v>4.4093421052631577E-3</v>
      </c>
      <c r="J11" s="111">
        <f t="shared" si="2"/>
        <v>1.2216359079516974</v>
      </c>
      <c r="K11" s="111">
        <f t="shared" si="3"/>
        <v>2.0873484115825709E-6</v>
      </c>
      <c r="L11" s="111">
        <f>E11/(Table1123457910[[#This Row],[b (mm)]]*Z11)</f>
        <v>1.4223684210526316E-3</v>
      </c>
      <c r="M11" s="111">
        <f>Table1123457910[[#This Row],[M (KN.mm)]]/(Table1123457910[[#This Row],[b (mm)]]*Table1123457910[[#This Row],[d (mm)]])</f>
        <v>16.931873684210526</v>
      </c>
      <c r="N11" s="111">
        <f>Table1123457910[[#This Row],[M (KN.mm)]]/(Table1123457910[[#This Row],[b (mm)]]*Table1123457910[[#This Row],[h (mm)]])</f>
        <v>16.254598736842105</v>
      </c>
      <c r="O11" s="111">
        <f>Table1123457910[[#This Row],[M (KN.mm)]]/(Table1123457910[[#This Row],[b (mm)]]*Table1123457910[[#This Row],[h (mm)]]*Table1123457910[[#This Row],[L(mm)]])</f>
        <v>6.827368421052631E-4</v>
      </c>
      <c r="P11" s="111">
        <f>Table1123457910[[#This Row],[M (KN.mm)]]/(Table1123457910[[#This Row],[b (mm)]]*Table1123457910[[#This Row],[d (mm)]]*Table1123457910[[#This Row],[L(mm)]])</f>
        <v>7.1118421052631579E-4</v>
      </c>
      <c r="Q11" s="111">
        <f>Table1123457910[[#This Row],[M (KN.mm)]]/(Table1123457910[[#This Row],[b (mm)]]*Table1123457910[[#This Row],[h (mm)]]*Table1123457910[[#This Row],[L(mm)]]*Table1123457910[[#This Row],[fc (Mpa)]])</f>
        <v>1.706842105263158E-5</v>
      </c>
      <c r="R11" s="111">
        <f>Table1123457910[[#This Row],[M (KN.mm)]]/(Table1123457910[[#This Row],[b (mm)]]*Table1123457910[[#This Row],[h (mm)]]*Table1123457910[[#This Row],[L(mm)]]/2)</f>
        <v>1.3654736842105262E-3</v>
      </c>
      <c r="S11" s="111">
        <f>Table1123457910[[#This Row],[M (KN.mm)]]/(Table1123457910[[#This Row],[a (mm)]]*Table1123457910[[#This Row],[b (mm)]]*Table1123457910[[#This Row],[h (mm)]]*Table1123457910[[#This Row],[L(mm)]]/2)</f>
        <v>1.1470713073005094E-7</v>
      </c>
      <c r="T11" s="111">
        <f>G11/($AL$5*AH11*0.001*Table1123457910[[#This Row],[pho (%)]])</f>
        <v>7.0134369775510327E-7</v>
      </c>
      <c r="U11" s="111">
        <f>Table1123457910[[#This Row],[M (KN.mm)]]/(Table1123457910[[#This Row],[b (mm)]]*Table1123457910[[#This Row],[d (mm)]]*Table1123457910[[#This Row],[pho (%)]])</f>
        <v>25.654354066985647</v>
      </c>
      <c r="V11" s="111">
        <f>E11*224.8/(2*SQRT(Table1123457910[[#This Row],[fc (Mpa)]]*145.037)*Table1123457910[[#This Row],[b (mm)]]*Table1123457910[[#This Row],[d (mm)]]*(1/25.4)^2)</f>
        <v>1.3541801592427309</v>
      </c>
      <c r="W11" s="111">
        <f>Table1123457910[[#This Row],[M (KN.mm)]]/$G$11</f>
        <v>1</v>
      </c>
      <c r="X11" s="111">
        <f t="shared" si="4"/>
        <v>1.3541801592427309</v>
      </c>
      <c r="Y11" s="111">
        <f>3.1*Table1123457910[[#This Row],[d (mm)]]</f>
        <v>11904</v>
      </c>
      <c r="Z11" s="111">
        <v>3840</v>
      </c>
      <c r="AA11" s="111">
        <v>4000</v>
      </c>
      <c r="AB11" s="111">
        <v>250</v>
      </c>
      <c r="AC11" s="7">
        <v>40</v>
      </c>
      <c r="AD11" s="111">
        <f>Table1123457910[[#This Row],[pho (%)]]*Table1123457910[[#This Row],[b (mm)]]*Table1123457910[[#This Row],[h (mm)]]/100</f>
        <v>6600</v>
      </c>
      <c r="AE11" s="111">
        <v>0.66</v>
      </c>
      <c r="AF11" s="111">
        <v>525</v>
      </c>
      <c r="AG11" s="111">
        <f>(1/3-0.21*(MIN(Table1123457910[[#This Row],[b (mm)]],AA11)/MAX(Table1123457910[[#This Row],[b (mm)]],AA11))*(MIN(Table1123457910[[#This Row],[b (mm)]],AA11)^4/(12*MAX(Table1123457910[[#This Row],[b (mm)]],AA11)^4)))*MAX(Table1123457910[[#This Row],[b (mm)]],AA11)*MIN(Table1123457910[[#This Row],[b (mm)]],AA11)^3</f>
        <v>20833332290.252048</v>
      </c>
      <c r="AH11" s="111">
        <f>Table1123457910[[#This Row],[b (mm)]]*AA11^3/12</f>
        <v>1333333333333.3333</v>
      </c>
      <c r="AI11" s="111">
        <f>Table1123457910[[#This Row],[a (mm)]]*2</f>
        <v>23808</v>
      </c>
      <c r="AJ11"/>
      <c r="AK11"/>
      <c r="AL11"/>
      <c r="AM11"/>
    </row>
    <row r="12" spans="1:44" ht="17.25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129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s="129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s="129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s="129" customForma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s="129" customFormat="1" ht="16.5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s="129" customForma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s="129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s="129" customForma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s="129" customForma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s="129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s="129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s="129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s="129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customFormat="1" x14ac:dyDescent="0.25"/>
    <row r="45" spans="1:4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s="1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s="1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s="1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44" x14ac:dyDescent="0.25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44" x14ac:dyDescent="0.25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44" x14ac:dyDescent="0.25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44" x14ac:dyDescent="0.25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x14ac:dyDescent="0.25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x14ac:dyDescent="0.25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9" x14ac:dyDescent="0.25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9" x14ac:dyDescent="0.25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9" x14ac:dyDescent="0.25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9" x14ac:dyDescent="0.25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9" x14ac:dyDescent="0.25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9" x14ac:dyDescent="0.25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9" x14ac:dyDescent="0.25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9" x14ac:dyDescent="0.25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9" x14ac:dyDescent="0.25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31"/>
  <sheetViews>
    <sheetView topLeftCell="I1" zoomScaleNormal="100" workbookViewId="0">
      <selection activeCell="T8" sqref="T8"/>
    </sheetView>
  </sheetViews>
  <sheetFormatPr defaultRowHeight="15" x14ac:dyDescent="0.25"/>
  <cols>
    <col min="1" max="1" width="15" style="140" customWidth="1"/>
    <col min="2" max="2" width="8.28515625" style="2" customWidth="1"/>
    <col min="3" max="3" width="7.42578125" style="2" customWidth="1"/>
    <col min="4" max="4" width="9.42578125" style="188" customWidth="1"/>
    <col min="5" max="5" width="10.85546875" style="188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7.7109375" style="2" customWidth="1"/>
    <col min="11" max="11" width="8.85546875" style="2" customWidth="1"/>
    <col min="12" max="12" width="8.42578125" style="2" customWidth="1"/>
    <col min="13" max="17" width="10" style="2" customWidth="1"/>
    <col min="18" max="24" width="14.71093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customWidth="1"/>
    <col min="37" max="37" width="13.5703125" style="2" customWidth="1"/>
    <col min="38" max="38" width="12.42578125" style="1" customWidth="1"/>
    <col min="39" max="39" width="9.140625" style="1"/>
    <col min="40" max="16384" width="9.140625" style="2"/>
  </cols>
  <sheetData>
    <row r="1" spans="1:44" ht="80.25" customHeight="1" x14ac:dyDescent="0.25">
      <c r="A1" s="151" t="s">
        <v>59</v>
      </c>
      <c r="B1" s="104" t="s">
        <v>57</v>
      </c>
      <c r="C1" s="104" t="s">
        <v>58</v>
      </c>
      <c r="D1" s="187" t="s">
        <v>194</v>
      </c>
      <c r="E1" s="189" t="s">
        <v>24</v>
      </c>
      <c r="F1" s="104" t="s">
        <v>63</v>
      </c>
      <c r="G1" s="17" t="s">
        <v>23</v>
      </c>
      <c r="H1" s="17" t="s">
        <v>3</v>
      </c>
      <c r="I1" s="17" t="s">
        <v>13</v>
      </c>
      <c r="J1" s="17" t="s">
        <v>14</v>
      </c>
      <c r="K1" s="17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t="s">
        <v>50</v>
      </c>
      <c r="AK1" s="1" t="s">
        <v>75</v>
      </c>
      <c r="AL1" s="1" t="s">
        <v>80</v>
      </c>
      <c r="AM1" s="1" t="s">
        <v>89</v>
      </c>
    </row>
    <row r="2" spans="1:44" x14ac:dyDescent="0.25">
      <c r="A2" s="178" t="s">
        <v>193</v>
      </c>
      <c r="B2" s="176">
        <v>1</v>
      </c>
      <c r="C2" s="176">
        <v>1</v>
      </c>
      <c r="D2" s="176">
        <f>Table112345791014[[#This Row],[a (mm)]]/Table112345791014[[#This Row],[d (mm)]]</f>
        <v>3.1</v>
      </c>
      <c r="E2" s="176">
        <f>251*12/19</f>
        <v>158.52631578947367</v>
      </c>
      <c r="F2" s="137">
        <f>Table112345791014[[#This Row],[d (mm)]]</f>
        <v>3840</v>
      </c>
      <c r="G2" s="111">
        <f>E2*Y2</f>
        <v>1887097.2631578946</v>
      </c>
      <c r="H2" s="111">
        <f>G2/($AL$5*AH2*0.001)</f>
        <v>5.3739406554167626E-8</v>
      </c>
      <c r="I2" s="111">
        <f>G2/(Table112345791014[[#This Row],[b (mm)]]*Z2^2)</f>
        <v>5.1190789473684205E-4</v>
      </c>
      <c r="J2" s="111">
        <f t="shared" ref="J2:J11" si="0">G2/(AD2*AF2*Z2*0.001)</f>
        <v>0.14182729551150602</v>
      </c>
      <c r="K2" s="111">
        <f t="shared" ref="K2:K11" si="1">E2/($AL$4*AG2*0.001)</f>
        <v>2.4233323372212084E-7</v>
      </c>
      <c r="L2" s="111">
        <f>E2/(Table112345791014[[#This Row],[b (mm)]]*Z2)</f>
        <v>1.651315789473684E-4</v>
      </c>
      <c r="M2" s="111">
        <f>Table112345791014[[#This Row],[M (KN.mm)]]/(Table112345791014[[#This Row],[b (mm)]]*Table112345791014[[#This Row],[d (mm)]])</f>
        <v>1.9657263157894735</v>
      </c>
      <c r="N2" s="111">
        <f>Table112345791014[[#This Row],[M (KN.mm)]]/(Table112345791014[[#This Row],[b (mm)]]*Table112345791014[[#This Row],[h (mm)]])</f>
        <v>1.8870972631578946</v>
      </c>
      <c r="O2" s="111">
        <f>Table112345791014[[#This Row],[M (KN.mm)]]/(Table112345791014[[#This Row],[b (mm)]]*Table112345791014[[#This Row],[h (mm)]]*Table112345791014[[#This Row],[L(mm)]])</f>
        <v>7.9263157894736839E-5</v>
      </c>
      <c r="P2" s="111">
        <f>Table112345791014[[#This Row],[M (KN.mm)]]/(Table112345791014[[#This Row],[b (mm)]]*Table112345791014[[#This Row],[d (mm)]]*Table112345791014[[#This Row],[L(mm)]])</f>
        <v>8.25657894736842E-5</v>
      </c>
      <c r="Q2" s="111">
        <f>Table112345791014[[#This Row],[M (KN.mm)]]/(Table112345791014[[#This Row],[b (mm)]]*Table112345791014[[#This Row],[h (mm)]]*Table112345791014[[#This Row],[L(mm)]]*Table112345791014[[#This Row],[fc (Mpa)]])</f>
        <v>1.981578947368421E-6</v>
      </c>
      <c r="R2" s="111">
        <f>Table112345791014[[#This Row],[M (KN.mm)]]/(Table112345791014[[#This Row],[b (mm)]]*Table112345791014[[#This Row],[h (mm)]]*Table112345791014[[#This Row],[L(mm)]]/2)</f>
        <v>1.5852631578947368E-4</v>
      </c>
      <c r="S2" s="111">
        <f>Table112345791014[[#This Row],[M (KN.mm)]]/(Table112345791014[[#This Row],[a (mm)]]*Table112345791014[[#This Row],[b (mm)]]*Table112345791014[[#This Row],[h (mm)]]*Table112345791014[[#This Row],[L(mm)]]/2)</f>
        <v>1.3317062818336162E-8</v>
      </c>
      <c r="T2" s="111">
        <f>G2/($AL$5*AH2*0.001*Table112345791014[[#This Row],[pho (%)]])</f>
        <v>8.1423343263890336E-8</v>
      </c>
      <c r="U2" s="111">
        <f>Table112345791014[[#This Row],[M (KN.mm)]]/(Table112345791014[[#This Row],[b (mm)]]*Table112345791014[[#This Row],[d (mm)]]*Table112345791014[[#This Row],[pho (%)]])</f>
        <v>2.9783732057416268</v>
      </c>
      <c r="V2" s="111">
        <f>E2*224.8/(2*SQRT(Table112345791014[[#This Row],[fc (Mpa)]]*145.037)*Table112345791014[[#This Row],[b (mm)]]*Table112345791014[[#This Row],[d (mm)]]*(1/25.4)^2)</f>
        <v>0.1572151803746186</v>
      </c>
      <c r="W2" s="111">
        <f>Table112345791014[[#This Row],[M (KN.mm)]]/$G$11</f>
        <v>0.11609620721554116</v>
      </c>
      <c r="X2" s="111">
        <f>V2</f>
        <v>0.1572151803746186</v>
      </c>
      <c r="Y2" s="111">
        <f>3.1*Table112345791014[[#This Row],[d (mm)]]</f>
        <v>11904</v>
      </c>
      <c r="Z2" s="111">
        <v>3840</v>
      </c>
      <c r="AA2" s="111">
        <v>4000</v>
      </c>
      <c r="AB2" s="111">
        <v>250</v>
      </c>
      <c r="AC2" s="7">
        <v>40</v>
      </c>
      <c r="AD2" s="111">
        <f>Table112345791014[[#This Row],[pho (%)]]*Table112345791014[[#This Row],[b (mm)]]*Table112345791014[[#This Row],[h (mm)]]/100</f>
        <v>6600</v>
      </c>
      <c r="AE2" s="111">
        <v>0.66</v>
      </c>
      <c r="AF2" s="111">
        <v>525</v>
      </c>
      <c r="AG2" s="111">
        <f>(1/3-0.21*(MIN(Table112345791014[[#This Row],[b (mm)]],AA2)/MAX(Table112345791014[[#This Row],[b (mm)]],AA2))*(MIN(Table112345791014[[#This Row],[b (mm)]],AA2)^4/(12*MAX(Table112345791014[[#This Row],[b (mm)]],AA2)^4)))*MAX(Table112345791014[[#This Row],[b (mm)]],AA2)*MIN(Table112345791014[[#This Row],[b (mm)]],AA2)^3</f>
        <v>20833332290.252048</v>
      </c>
      <c r="AH2" s="111">
        <f>Table112345791014[[#This Row],[b (mm)]]*AA2^3/12</f>
        <v>1333333333333.3333</v>
      </c>
      <c r="AI2" s="111">
        <f>Table112345791014[[#This Row],[a (mm)]]*2</f>
        <v>23808</v>
      </c>
      <c r="AK2" s="1"/>
    </row>
    <row r="3" spans="1:44" x14ac:dyDescent="0.25">
      <c r="A3" s="178" t="s">
        <v>193</v>
      </c>
      <c r="B3" s="176">
        <v>2</v>
      </c>
      <c r="C3" s="176">
        <v>2</v>
      </c>
      <c r="D3" s="176">
        <f>Table112345791014[[#This Row],[a (mm)]]/Table112345791014[[#This Row],[d (mm)]]</f>
        <v>3.1</v>
      </c>
      <c r="E3" s="176">
        <v>377</v>
      </c>
      <c r="F3" s="137">
        <f>Table112345791014[[#This Row],[d (mm)]]</f>
        <v>3840</v>
      </c>
      <c r="G3" s="111">
        <f t="shared" ref="G3:G11" si="2">E3*Y3</f>
        <v>4487808</v>
      </c>
      <c r="H3" s="111">
        <f t="shared" ref="H2:H11" si="3">G3/($AL$5*AH3*0.001)</f>
        <v>1.2780058736636875E-7</v>
      </c>
      <c r="I3" s="111">
        <f>G3/(Table112345791014[[#This Row],[b (mm)]]*Z3^2)</f>
        <v>1.2173958333333334E-3</v>
      </c>
      <c r="J3" s="111">
        <f t="shared" si="0"/>
        <v>0.3372871572871573</v>
      </c>
      <c r="K3" s="111">
        <f t="shared" si="1"/>
        <v>5.7630576133849663E-7</v>
      </c>
      <c r="L3" s="111">
        <f>E3/(Table112345791014[[#This Row],[b (mm)]]*Z3)</f>
        <v>3.9270833333333334E-4</v>
      </c>
      <c r="M3" s="111">
        <f>Table112345791014[[#This Row],[M (KN.mm)]]/(Table112345791014[[#This Row],[b (mm)]]*Table112345791014[[#This Row],[d (mm)]])</f>
        <v>4.6748000000000003</v>
      </c>
      <c r="N3" s="111">
        <f>Table112345791014[[#This Row],[M (KN.mm)]]/(Table112345791014[[#This Row],[b (mm)]]*Table112345791014[[#This Row],[h (mm)]])</f>
        <v>4.4878080000000002</v>
      </c>
      <c r="O3" s="111">
        <f>Table112345791014[[#This Row],[M (KN.mm)]]/(Table112345791014[[#This Row],[b (mm)]]*Table112345791014[[#This Row],[h (mm)]]*Table112345791014[[#This Row],[L(mm)]])</f>
        <v>1.885E-4</v>
      </c>
      <c r="P3" s="111">
        <f>Table112345791014[[#This Row],[M (KN.mm)]]/(Table112345791014[[#This Row],[b (mm)]]*Table112345791014[[#This Row],[d (mm)]]*Table112345791014[[#This Row],[L(mm)]])</f>
        <v>1.9635416666666667E-4</v>
      </c>
      <c r="Q3" s="111">
        <f>Table112345791014[[#This Row],[M (KN.mm)]]/(Table112345791014[[#This Row],[b (mm)]]*Table112345791014[[#This Row],[h (mm)]]*Table112345791014[[#This Row],[L(mm)]]*Table112345791014[[#This Row],[fc (Mpa)]])</f>
        <v>4.7125000000000002E-6</v>
      </c>
      <c r="R3" s="111">
        <f>Table112345791014[[#This Row],[M (KN.mm)]]/(Table112345791014[[#This Row],[b (mm)]]*Table112345791014[[#This Row],[h (mm)]]*Table112345791014[[#This Row],[L(mm)]]/2)</f>
        <v>3.77E-4</v>
      </c>
      <c r="S3" s="111">
        <f>Table112345791014[[#This Row],[M (KN.mm)]]/(Table112345791014[[#This Row],[a (mm)]]*Table112345791014[[#This Row],[b (mm)]]*Table112345791014[[#This Row],[h (mm)]]*Table112345791014[[#This Row],[L(mm)]]/2)</f>
        <v>3.1670026881720429E-8</v>
      </c>
      <c r="T3" s="111">
        <f>G3/($AL$5*AH3*0.001*Table112345791014[[#This Row],[pho (%)]])</f>
        <v>1.9363725358540723E-7</v>
      </c>
      <c r="U3" s="111">
        <f>Table112345791014[[#This Row],[M (KN.mm)]]/(Table112345791014[[#This Row],[b (mm)]]*Table112345791014[[#This Row],[d (mm)]]*Table112345791014[[#This Row],[pho (%)]])</f>
        <v>7.083030303030303</v>
      </c>
      <c r="V3" s="111">
        <f>E3*224.8/(2*SQRT(Table112345791014[[#This Row],[fc (Mpa)]]*145.037)*Table112345791014[[#This Row],[b (mm)]]*Table112345791014[[#This Row],[d (mm)]]*(1/25.4)^2)</f>
        <v>0.37388191800245457</v>
      </c>
      <c r="W3" s="111">
        <f>Table112345791014[[#This Row],[M (KN.mm)]]/$G$11</f>
        <v>0.27609466543324085</v>
      </c>
      <c r="X3" s="111">
        <f t="shared" ref="X3:X26" si="4">V3</f>
        <v>0.37388191800245457</v>
      </c>
      <c r="Y3" s="111">
        <f>3.1*Table112345791014[[#This Row],[d (mm)]]</f>
        <v>11904</v>
      </c>
      <c r="Z3" s="111">
        <v>3840</v>
      </c>
      <c r="AA3" s="111">
        <v>4000</v>
      </c>
      <c r="AB3" s="111">
        <v>250</v>
      </c>
      <c r="AC3" s="7">
        <v>40</v>
      </c>
      <c r="AD3" s="111">
        <f>Table112345791014[[#This Row],[pho (%)]]*Table112345791014[[#This Row],[b (mm)]]*Table112345791014[[#This Row],[h (mm)]]/100</f>
        <v>6600</v>
      </c>
      <c r="AE3" s="111">
        <v>0.66</v>
      </c>
      <c r="AF3" s="111">
        <v>525</v>
      </c>
      <c r="AG3" s="111">
        <f>(1/3-0.21*(MIN(Table112345791014[[#This Row],[b (mm)]],AA3)/MAX(Table112345791014[[#This Row],[b (mm)]],AA3))*(MIN(Table112345791014[[#This Row],[b (mm)]],AA3)^4/(12*MAX(Table112345791014[[#This Row],[b (mm)]],AA3)^4)))*MAX(Table112345791014[[#This Row],[b (mm)]],AA3)*MIN(Table112345791014[[#This Row],[b (mm)]],AA3)^3</f>
        <v>20833332290.252048</v>
      </c>
      <c r="AH3" s="111">
        <f>Table112345791014[[#This Row],[b (mm)]]*AA3^3/12</f>
        <v>1333333333333.3333</v>
      </c>
      <c r="AI3" s="111">
        <f>Table112345791014[[#This Row],[a (mm)]]*2</f>
        <v>23808</v>
      </c>
      <c r="AK3" s="1"/>
    </row>
    <row r="4" spans="1:44" x14ac:dyDescent="0.25">
      <c r="A4" s="178" t="s">
        <v>193</v>
      </c>
      <c r="B4" s="176">
        <v>3</v>
      </c>
      <c r="C4" s="176">
        <v>3</v>
      </c>
      <c r="D4" s="176">
        <f>Table112345791014[[#This Row],[a (mm)]]/Table112345791014[[#This Row],[d (mm)]]</f>
        <v>3.1</v>
      </c>
      <c r="E4" s="176">
        <f>500*12/19</f>
        <v>315.78947368421052</v>
      </c>
      <c r="F4" s="137">
        <f>Table112345791014[[#This Row],[d (mm)]]</f>
        <v>3840</v>
      </c>
      <c r="G4" s="111">
        <f t="shared" si="2"/>
        <v>3759157.8947368423</v>
      </c>
      <c r="H4" s="111">
        <f t="shared" si="3"/>
        <v>1.0705061066567256E-7</v>
      </c>
      <c r="I4" s="111">
        <f>G4/(Table112345791014[[#This Row],[b (mm)]]*Z4^2)</f>
        <v>1.0197368421052632E-3</v>
      </c>
      <c r="J4" s="111">
        <f t="shared" si="0"/>
        <v>0.28252449305080884</v>
      </c>
      <c r="K4" s="111">
        <f t="shared" si="1"/>
        <v>4.8273552534287021E-7</v>
      </c>
      <c r="L4" s="111">
        <f>E4/(Table112345791014[[#This Row],[b (mm)]]*Z4)</f>
        <v>3.2894736842105262E-4</v>
      </c>
      <c r="M4" s="111">
        <f>Table112345791014[[#This Row],[M (KN.mm)]]/(Table112345791014[[#This Row],[b (mm)]]*Table112345791014[[#This Row],[d (mm)]])</f>
        <v>3.9157894736842107</v>
      </c>
      <c r="N4" s="111">
        <f>Table112345791014[[#This Row],[M (KN.mm)]]/(Table112345791014[[#This Row],[b (mm)]]*Table112345791014[[#This Row],[h (mm)]])</f>
        <v>3.759157894736842</v>
      </c>
      <c r="O4" s="111">
        <f>Table112345791014[[#This Row],[M (KN.mm)]]/(Table112345791014[[#This Row],[b (mm)]]*Table112345791014[[#This Row],[h (mm)]]*Table112345791014[[#This Row],[L(mm)]])</f>
        <v>1.5789473684210527E-4</v>
      </c>
      <c r="P4" s="111">
        <f>Table112345791014[[#This Row],[M (KN.mm)]]/(Table112345791014[[#This Row],[b (mm)]]*Table112345791014[[#This Row],[d (mm)]]*Table112345791014[[#This Row],[L(mm)]])</f>
        <v>1.6447368421052631E-4</v>
      </c>
      <c r="Q4" s="111">
        <f>Table112345791014[[#This Row],[M (KN.mm)]]/(Table112345791014[[#This Row],[b (mm)]]*Table112345791014[[#This Row],[h (mm)]]*Table112345791014[[#This Row],[L(mm)]]*Table112345791014[[#This Row],[fc (Mpa)]])</f>
        <v>3.9473684210526315E-6</v>
      </c>
      <c r="R4" s="111">
        <f>Table112345791014[[#This Row],[M (KN.mm)]]/(Table112345791014[[#This Row],[b (mm)]]*Table112345791014[[#This Row],[h (mm)]]*Table112345791014[[#This Row],[L(mm)]]/2)</f>
        <v>3.1578947368421053E-4</v>
      </c>
      <c r="S4" s="111">
        <f>Table112345791014[[#This Row],[M (KN.mm)]]/(Table112345791014[[#This Row],[a (mm)]]*Table112345791014[[#This Row],[b (mm)]]*Table112345791014[[#This Row],[h (mm)]]*Table112345791014[[#This Row],[L(mm)]]/2)</f>
        <v>2.6528013582342955E-8</v>
      </c>
      <c r="T4" s="111">
        <f>G4/($AL$5*AH4*0.001*Table112345791014[[#This Row],[pho (%)]])</f>
        <v>1.6219789494798873E-7</v>
      </c>
      <c r="U4" s="111">
        <f>Table112345791014[[#This Row],[M (KN.mm)]]/(Table112345791014[[#This Row],[b (mm)]]*Table112345791014[[#This Row],[d (mm)]]*Table112345791014[[#This Row],[pho (%)]])</f>
        <v>5.9330143540669855</v>
      </c>
      <c r="V4" s="111">
        <f>E4*224.8/(2*SQRT(Table112345791014[[#This Row],[fc (Mpa)]]*145.037)*Table112345791014[[#This Row],[b (mm)]]*Table112345791014[[#This Row],[d (mm)]]*(1/25.4)^2)</f>
        <v>0.31317765014864268</v>
      </c>
      <c r="W4" s="111">
        <f>Table112345791014[[#This Row],[M (KN.mm)]]/$G$11</f>
        <v>0.23126734505087881</v>
      </c>
      <c r="X4" s="111">
        <f t="shared" si="4"/>
        <v>0.31317765014864268</v>
      </c>
      <c r="Y4" s="111">
        <f>3.1*Table112345791014[[#This Row],[d (mm)]]</f>
        <v>11904</v>
      </c>
      <c r="Z4" s="111">
        <v>3840</v>
      </c>
      <c r="AA4" s="111">
        <v>4000</v>
      </c>
      <c r="AB4" s="111">
        <v>250</v>
      </c>
      <c r="AC4" s="7">
        <v>40</v>
      </c>
      <c r="AD4" s="111">
        <f>Table112345791014[[#This Row],[pho (%)]]*Table112345791014[[#This Row],[b (mm)]]*Table112345791014[[#This Row],[h (mm)]]/100</f>
        <v>6600</v>
      </c>
      <c r="AE4" s="111">
        <v>0.66</v>
      </c>
      <c r="AF4" s="111">
        <v>525</v>
      </c>
      <c r="AG4" s="111">
        <f>(1/3-0.21*(MIN(Table112345791014[[#This Row],[b (mm)]],AA4)/MAX(Table112345791014[[#This Row],[b (mm)]],AA4))*(MIN(Table112345791014[[#This Row],[b (mm)]],AA4)^4/(12*MAX(Table112345791014[[#This Row],[b (mm)]],AA4)^4)))*MAX(Table112345791014[[#This Row],[b (mm)]],AA4)*MIN(Table112345791014[[#This Row],[b (mm)]],AA4)^3</f>
        <v>20833332290.252048</v>
      </c>
      <c r="AH4" s="111">
        <f>Table112345791014[[#This Row],[b (mm)]]*AA4^3/12</f>
        <v>1333333333333.3333</v>
      </c>
      <c r="AI4" s="111">
        <f>Table112345791014[[#This Row],[a (mm)]]*2</f>
        <v>23808</v>
      </c>
      <c r="AK4" s="126" t="s">
        <v>7</v>
      </c>
      <c r="AL4" s="107">
        <v>31.4</v>
      </c>
    </row>
    <row r="5" spans="1:44" x14ac:dyDescent="0.25">
      <c r="A5" s="178" t="s">
        <v>193</v>
      </c>
      <c r="B5" s="176">
        <v>4</v>
      </c>
      <c r="C5" s="176">
        <v>4</v>
      </c>
      <c r="D5" s="176">
        <f>Table112345791014[[#This Row],[a (mm)]]/Table112345791014[[#This Row],[d (mm)]]</f>
        <v>3.1</v>
      </c>
      <c r="E5" s="176">
        <f>625*12/19</f>
        <v>394.73684210526318</v>
      </c>
      <c r="F5" s="137">
        <f>Table112345791014[[#This Row],[d (mm)]]</f>
        <v>3840</v>
      </c>
      <c r="G5" s="111">
        <f t="shared" si="2"/>
        <v>4698947.3684210526</v>
      </c>
      <c r="H5" s="111">
        <f t="shared" si="3"/>
        <v>1.3381326333209071E-7</v>
      </c>
      <c r="I5" s="111">
        <f>G5/(Table112345791014[[#This Row],[b (mm)]]*Z5^2)</f>
        <v>1.274671052631579E-3</v>
      </c>
      <c r="J5" s="111">
        <f t="shared" si="0"/>
        <v>0.35315561631351106</v>
      </c>
      <c r="K5" s="111">
        <f t="shared" si="1"/>
        <v>6.0341940667858785E-7</v>
      </c>
      <c r="L5" s="111">
        <f>E5/(Table112345791014[[#This Row],[b (mm)]]*Z5)</f>
        <v>4.1118421052631582E-4</v>
      </c>
      <c r="M5" s="111">
        <f>Table112345791014[[#This Row],[M (KN.mm)]]/(Table112345791014[[#This Row],[b (mm)]]*Table112345791014[[#This Row],[d (mm)]])</f>
        <v>4.8947368421052628</v>
      </c>
      <c r="N5" s="111">
        <f>Table112345791014[[#This Row],[M (KN.mm)]]/(Table112345791014[[#This Row],[b (mm)]]*Table112345791014[[#This Row],[h (mm)]])</f>
        <v>4.6989473684210523</v>
      </c>
      <c r="O5" s="111">
        <f>Table112345791014[[#This Row],[M (KN.mm)]]/(Table112345791014[[#This Row],[b (mm)]]*Table112345791014[[#This Row],[h (mm)]]*Table112345791014[[#This Row],[L(mm)]])</f>
        <v>1.9736842105263157E-4</v>
      </c>
      <c r="P5" s="111">
        <f>Table112345791014[[#This Row],[M (KN.mm)]]/(Table112345791014[[#This Row],[b (mm)]]*Table112345791014[[#This Row],[d (mm)]]*Table112345791014[[#This Row],[L(mm)]])</f>
        <v>2.0559210526315788E-4</v>
      </c>
      <c r="Q5" s="111">
        <f>Table112345791014[[#This Row],[M (KN.mm)]]/(Table112345791014[[#This Row],[b (mm)]]*Table112345791014[[#This Row],[h (mm)]]*Table112345791014[[#This Row],[L(mm)]]*Table112345791014[[#This Row],[fc (Mpa)]])</f>
        <v>4.9342105263157895E-6</v>
      </c>
      <c r="R5" s="111">
        <f>Table112345791014[[#This Row],[M (KN.mm)]]/(Table112345791014[[#This Row],[b (mm)]]*Table112345791014[[#This Row],[h (mm)]]*Table112345791014[[#This Row],[L(mm)]]/2)</f>
        <v>3.9473684210526315E-4</v>
      </c>
      <c r="S5" s="111">
        <f>Table112345791014[[#This Row],[M (KN.mm)]]/(Table112345791014[[#This Row],[a (mm)]]*Table112345791014[[#This Row],[b (mm)]]*Table112345791014[[#This Row],[h (mm)]]*Table112345791014[[#This Row],[L(mm)]]/2)</f>
        <v>3.3160016977928693E-8</v>
      </c>
      <c r="T5" s="111">
        <f>G5/($AL$5*AH5*0.001*Table112345791014[[#This Row],[pho (%)]])</f>
        <v>2.027473686849859E-7</v>
      </c>
      <c r="U5" s="111">
        <f>Table112345791014[[#This Row],[M (KN.mm)]]/(Table112345791014[[#This Row],[b (mm)]]*Table112345791014[[#This Row],[d (mm)]]*Table112345791014[[#This Row],[pho (%)]])</f>
        <v>7.4162679425837323</v>
      </c>
      <c r="V5" s="111">
        <f>E5*224.8/(2*SQRT(Table112345791014[[#This Row],[fc (Mpa)]]*145.037)*Table112345791014[[#This Row],[b (mm)]]*Table112345791014[[#This Row],[d (mm)]]*(1/25.4)^2)</f>
        <v>0.39147206268580337</v>
      </c>
      <c r="W5" s="111">
        <f>Table112345791014[[#This Row],[M (KN.mm)]]/$G$11</f>
        <v>0.28908418131359853</v>
      </c>
      <c r="X5" s="111">
        <f t="shared" si="4"/>
        <v>0.39147206268580337</v>
      </c>
      <c r="Y5" s="111">
        <f>3.1*Table112345791014[[#This Row],[d (mm)]]</f>
        <v>11904</v>
      </c>
      <c r="Z5" s="111">
        <v>3840</v>
      </c>
      <c r="AA5" s="111">
        <v>4000</v>
      </c>
      <c r="AB5" s="111">
        <v>250</v>
      </c>
      <c r="AC5" s="7">
        <v>40</v>
      </c>
      <c r="AD5" s="111">
        <f>Table112345791014[[#This Row],[pho (%)]]*Table112345791014[[#This Row],[b (mm)]]*Table112345791014[[#This Row],[h (mm)]]/100</f>
        <v>6600</v>
      </c>
      <c r="AE5" s="111">
        <v>0.66</v>
      </c>
      <c r="AF5" s="111">
        <v>525</v>
      </c>
      <c r="AG5" s="111">
        <f>(1/3-0.21*(MIN(Table112345791014[[#This Row],[b (mm)]],AA5)/MAX(Table112345791014[[#This Row],[b (mm)]],AA5))*(MIN(Table112345791014[[#This Row],[b (mm)]],AA5)^4/(12*MAX(Table112345791014[[#This Row],[b (mm)]],AA5)^4)))*MAX(Table112345791014[[#This Row],[b (mm)]],AA5)*MIN(Table112345791014[[#This Row],[b (mm)]],AA5)^3</f>
        <v>20833332290.252048</v>
      </c>
      <c r="AH5" s="111">
        <f>Table112345791014[[#This Row],[b (mm)]]*AA5^3/12</f>
        <v>1333333333333.3333</v>
      </c>
      <c r="AI5" s="111">
        <f>Table112345791014[[#This Row],[a (mm)]]*2</f>
        <v>23808</v>
      </c>
      <c r="AK5" s="126" t="s">
        <v>8</v>
      </c>
      <c r="AL5" s="107">
        <f>4700*SQRT(AL4)</f>
        <v>26336.780365109171</v>
      </c>
    </row>
    <row r="6" spans="1:44" x14ac:dyDescent="0.25">
      <c r="A6" s="178" t="s">
        <v>193</v>
      </c>
      <c r="B6" s="176">
        <v>5</v>
      </c>
      <c r="C6" s="176">
        <v>5</v>
      </c>
      <c r="D6" s="176">
        <f>Table112345791014[[#This Row],[a (mm)]]/Table112345791014[[#This Row],[d (mm)]]</f>
        <v>3.1</v>
      </c>
      <c r="E6" s="176">
        <f>685*12/19</f>
        <v>432.63157894736844</v>
      </c>
      <c r="F6" s="137">
        <f>Table112345791014[[#This Row],[d (mm)]]</f>
        <v>3840</v>
      </c>
      <c r="G6" s="111">
        <f t="shared" si="2"/>
        <v>5150046.3157894742</v>
      </c>
      <c r="H6" s="111">
        <f t="shared" si="3"/>
        <v>1.4665933661197142E-7</v>
      </c>
      <c r="I6" s="111">
        <f>G6/(Table112345791014[[#This Row],[b (mm)]]*Z6^2)</f>
        <v>1.3970394736842107E-3</v>
      </c>
      <c r="J6" s="111">
        <f t="shared" si="0"/>
        <v>0.38705855547960816</v>
      </c>
      <c r="K6" s="111">
        <f t="shared" si="1"/>
        <v>6.613476697197323E-7</v>
      </c>
      <c r="L6" s="111">
        <f>E6/(Table112345791014[[#This Row],[b (mm)]]*Z6)</f>
        <v>4.506578947368421E-4</v>
      </c>
      <c r="M6" s="111">
        <f>Table112345791014[[#This Row],[M (KN.mm)]]/(Table112345791014[[#This Row],[b (mm)]]*Table112345791014[[#This Row],[d (mm)]])</f>
        <v>5.3646315789473693</v>
      </c>
      <c r="N6" s="111">
        <f>Table112345791014[[#This Row],[M (KN.mm)]]/(Table112345791014[[#This Row],[b (mm)]]*Table112345791014[[#This Row],[h (mm)]])</f>
        <v>5.1500463157894742</v>
      </c>
      <c r="O6" s="111">
        <f>Table112345791014[[#This Row],[M (KN.mm)]]/(Table112345791014[[#This Row],[b (mm)]]*Table112345791014[[#This Row],[h (mm)]]*Table112345791014[[#This Row],[L(mm)]])</f>
        <v>2.1631578947368423E-4</v>
      </c>
      <c r="P6" s="111">
        <f>Table112345791014[[#This Row],[M (KN.mm)]]/(Table112345791014[[#This Row],[b (mm)]]*Table112345791014[[#This Row],[d (mm)]]*Table112345791014[[#This Row],[L(mm)]])</f>
        <v>2.2532894736842108E-4</v>
      </c>
      <c r="Q6" s="111">
        <f>Table112345791014[[#This Row],[M (KN.mm)]]/(Table112345791014[[#This Row],[b (mm)]]*Table112345791014[[#This Row],[h (mm)]]*Table112345791014[[#This Row],[L(mm)]]*Table112345791014[[#This Row],[fc (Mpa)]])</f>
        <v>5.4078947368421056E-6</v>
      </c>
      <c r="R6" s="111">
        <f>Table112345791014[[#This Row],[M (KN.mm)]]/(Table112345791014[[#This Row],[b (mm)]]*Table112345791014[[#This Row],[h (mm)]]*Table112345791014[[#This Row],[L(mm)]]/2)</f>
        <v>4.3263157894736845E-4</v>
      </c>
      <c r="S6" s="111">
        <f>Table112345791014[[#This Row],[M (KN.mm)]]/(Table112345791014[[#This Row],[a (mm)]]*Table112345791014[[#This Row],[b (mm)]]*Table112345791014[[#This Row],[h (mm)]]*Table112345791014[[#This Row],[L(mm)]]/2)</f>
        <v>3.634337860780985E-8</v>
      </c>
      <c r="T6" s="111">
        <f>G6/($AL$5*AH6*0.001*Table112345791014[[#This Row],[pho (%)]])</f>
        <v>2.2221111607874458E-7</v>
      </c>
      <c r="U6" s="111">
        <f>Table112345791014[[#This Row],[M (KN.mm)]]/(Table112345791014[[#This Row],[b (mm)]]*Table112345791014[[#This Row],[d (mm)]]*Table112345791014[[#This Row],[pho (%)]])</f>
        <v>8.1282296650717711</v>
      </c>
      <c r="V6" s="111">
        <f>E6*224.8/(2*SQRT(Table112345791014[[#This Row],[fc (Mpa)]]*145.037)*Table112345791014[[#This Row],[b (mm)]]*Table112345791014[[#This Row],[d (mm)]]*(1/25.4)^2)</f>
        <v>0.42905338070364046</v>
      </c>
      <c r="W6" s="111">
        <f>Table112345791014[[#This Row],[M (KN.mm)]]/$G$11</f>
        <v>0.316836262719704</v>
      </c>
      <c r="X6" s="111">
        <f t="shared" si="4"/>
        <v>0.42905338070364046</v>
      </c>
      <c r="Y6" s="111">
        <f>3.1*Table112345791014[[#This Row],[d (mm)]]</f>
        <v>11904</v>
      </c>
      <c r="Z6" s="111">
        <v>3840</v>
      </c>
      <c r="AA6" s="111">
        <v>4000</v>
      </c>
      <c r="AB6" s="111">
        <v>250</v>
      </c>
      <c r="AC6" s="7">
        <v>40</v>
      </c>
      <c r="AD6" s="111">
        <f>Table112345791014[[#This Row],[pho (%)]]*Table112345791014[[#This Row],[b (mm)]]*Table112345791014[[#This Row],[h (mm)]]/100</f>
        <v>6600</v>
      </c>
      <c r="AE6" s="111">
        <v>0.66</v>
      </c>
      <c r="AF6" s="111">
        <v>525</v>
      </c>
      <c r="AG6" s="111">
        <f>(1/3-0.21*(MIN(Table112345791014[[#This Row],[b (mm)]],AA6)/MAX(Table112345791014[[#This Row],[b (mm)]],AA6))*(MIN(Table112345791014[[#This Row],[b (mm)]],AA6)^4/(12*MAX(Table112345791014[[#This Row],[b (mm)]],AA6)^4)))*MAX(Table112345791014[[#This Row],[b (mm)]],AA6)*MIN(Table112345791014[[#This Row],[b (mm)]],AA6)^3</f>
        <v>20833332290.252048</v>
      </c>
      <c r="AH6" s="111">
        <f>Table112345791014[[#This Row],[b (mm)]]*AA6^3/12</f>
        <v>1333333333333.3333</v>
      </c>
      <c r="AI6" s="111">
        <f>Table112345791014[[#This Row],[a (mm)]]*2</f>
        <v>23808</v>
      </c>
      <c r="AK6" s="126" t="s">
        <v>16</v>
      </c>
      <c r="AL6" s="107">
        <f>AL5/(2*(1+0.15))</f>
        <v>11450.774071786596</v>
      </c>
    </row>
    <row r="7" spans="1:44" x14ac:dyDescent="0.25">
      <c r="A7" s="178" t="s">
        <v>193</v>
      </c>
      <c r="B7" s="176">
        <v>6</v>
      </c>
      <c r="C7" s="176">
        <v>6</v>
      </c>
      <c r="D7" s="176">
        <f>Table112345791014[[#This Row],[a (mm)]]/Table112345791014[[#This Row],[d (mm)]]</f>
        <v>3.1</v>
      </c>
      <c r="E7" s="176">
        <f>1000*12/19</f>
        <v>631.57894736842104</v>
      </c>
      <c r="F7" s="137">
        <f>Table112345791014[[#This Row],[d (mm)]]</f>
        <v>3840</v>
      </c>
      <c r="G7" s="111">
        <f t="shared" si="2"/>
        <v>7518315.7894736845</v>
      </c>
      <c r="H7" s="111">
        <f t="shared" si="3"/>
        <v>2.1410122133134513E-7</v>
      </c>
      <c r="I7" s="111">
        <f>G7/(Table112345791014[[#This Row],[b (mm)]]*Z7^2)</f>
        <v>2.0394736842105263E-3</v>
      </c>
      <c r="J7" s="111">
        <f t="shared" si="0"/>
        <v>0.56504898610161769</v>
      </c>
      <c r="K7" s="111">
        <f t="shared" si="1"/>
        <v>9.6547105068574043E-7</v>
      </c>
      <c r="L7" s="111">
        <f>E7/(Table112345791014[[#This Row],[b (mm)]]*Z7)</f>
        <v>6.5789473684210525E-4</v>
      </c>
      <c r="M7" s="111">
        <f>Table112345791014[[#This Row],[M (KN.mm)]]/(Table112345791014[[#This Row],[b (mm)]]*Table112345791014[[#This Row],[d (mm)]])</f>
        <v>7.8315789473684214</v>
      </c>
      <c r="N7" s="111">
        <f>Table112345791014[[#This Row],[M (KN.mm)]]/(Table112345791014[[#This Row],[b (mm)]]*Table112345791014[[#This Row],[h (mm)]])</f>
        <v>7.5183157894736841</v>
      </c>
      <c r="O7" s="111">
        <f>Table112345791014[[#This Row],[M (KN.mm)]]/(Table112345791014[[#This Row],[b (mm)]]*Table112345791014[[#This Row],[h (mm)]]*Table112345791014[[#This Row],[L(mm)]])</f>
        <v>3.1578947368421053E-4</v>
      </c>
      <c r="P7" s="111">
        <f>Table112345791014[[#This Row],[M (KN.mm)]]/(Table112345791014[[#This Row],[b (mm)]]*Table112345791014[[#This Row],[d (mm)]]*Table112345791014[[#This Row],[L(mm)]])</f>
        <v>3.2894736842105262E-4</v>
      </c>
      <c r="Q7" s="111">
        <f>Table112345791014[[#This Row],[M (KN.mm)]]/(Table112345791014[[#This Row],[b (mm)]]*Table112345791014[[#This Row],[h (mm)]]*Table112345791014[[#This Row],[L(mm)]]*Table112345791014[[#This Row],[fc (Mpa)]])</f>
        <v>7.8947368421052629E-6</v>
      </c>
      <c r="R7" s="111">
        <f>Table112345791014[[#This Row],[M (KN.mm)]]/(Table112345791014[[#This Row],[b (mm)]]*Table112345791014[[#This Row],[h (mm)]]*Table112345791014[[#This Row],[L(mm)]]/2)</f>
        <v>6.3157894736842106E-4</v>
      </c>
      <c r="S7" s="111">
        <f>Table112345791014[[#This Row],[M (KN.mm)]]/(Table112345791014[[#This Row],[a (mm)]]*Table112345791014[[#This Row],[b (mm)]]*Table112345791014[[#This Row],[h (mm)]]*Table112345791014[[#This Row],[L(mm)]]/2)</f>
        <v>5.305602716468591E-8</v>
      </c>
      <c r="T7" s="111">
        <f>G7/($AL$5*AH7*0.001*Table112345791014[[#This Row],[pho (%)]])</f>
        <v>3.2439578989597747E-7</v>
      </c>
      <c r="U7" s="111">
        <f>Table112345791014[[#This Row],[M (KN.mm)]]/(Table112345791014[[#This Row],[b (mm)]]*Table112345791014[[#This Row],[d (mm)]]*Table112345791014[[#This Row],[pho (%)]])</f>
        <v>11.866028708133971</v>
      </c>
      <c r="V7" s="111">
        <f>E7*224.8/(2*SQRT(Table112345791014[[#This Row],[fc (Mpa)]]*145.037)*Table112345791014[[#This Row],[b (mm)]]*Table112345791014[[#This Row],[d (mm)]]*(1/25.4)^2)</f>
        <v>0.62635530029728537</v>
      </c>
      <c r="W7" s="111">
        <f>Table112345791014[[#This Row],[M (KN.mm)]]/$G$11</f>
        <v>0.46253469010175763</v>
      </c>
      <c r="X7" s="111">
        <f t="shared" si="4"/>
        <v>0.62635530029728537</v>
      </c>
      <c r="Y7" s="111">
        <f>3.1*Table112345791014[[#This Row],[d (mm)]]</f>
        <v>11904</v>
      </c>
      <c r="Z7" s="111">
        <v>3840</v>
      </c>
      <c r="AA7" s="111">
        <v>4000</v>
      </c>
      <c r="AB7" s="111">
        <v>250</v>
      </c>
      <c r="AC7" s="7">
        <v>40</v>
      </c>
      <c r="AD7" s="111">
        <f>Table112345791014[[#This Row],[pho (%)]]*Table112345791014[[#This Row],[b (mm)]]*Table112345791014[[#This Row],[h (mm)]]/100</f>
        <v>6600</v>
      </c>
      <c r="AE7" s="111">
        <v>0.66</v>
      </c>
      <c r="AF7" s="111">
        <v>525</v>
      </c>
      <c r="AG7" s="111">
        <f>(1/3-0.21*(MIN(Table112345791014[[#This Row],[b (mm)]],AA7)/MAX(Table112345791014[[#This Row],[b (mm)]],AA7))*(MIN(Table112345791014[[#This Row],[b (mm)]],AA7)^4/(12*MAX(Table112345791014[[#This Row],[b (mm)]],AA7)^4)))*MAX(Table112345791014[[#This Row],[b (mm)]],AA7)*MIN(Table112345791014[[#This Row],[b (mm)]],AA7)^3</f>
        <v>20833332290.252048</v>
      </c>
      <c r="AH7" s="111">
        <f>Table112345791014[[#This Row],[b (mm)]]*AA7^3/12</f>
        <v>1333333333333.3333</v>
      </c>
      <c r="AI7" s="111">
        <f>Table112345791014[[#This Row],[a (mm)]]*2</f>
        <v>23808</v>
      </c>
      <c r="AK7" s="107"/>
    </row>
    <row r="8" spans="1:44" x14ac:dyDescent="0.25">
      <c r="A8" s="178" t="s">
        <v>193</v>
      </c>
      <c r="B8" s="176">
        <v>7</v>
      </c>
      <c r="C8" s="176">
        <v>7</v>
      </c>
      <c r="D8" s="176">
        <f>Table112345791014[[#This Row],[a (mm)]]/Table112345791014[[#This Row],[d (mm)]]</f>
        <v>3.1</v>
      </c>
      <c r="E8" s="176">
        <f>1375*12/19</f>
        <v>868.42105263157896</v>
      </c>
      <c r="F8" s="137">
        <f>Table112345791014[[#This Row],[d (mm)]]</f>
        <v>3840</v>
      </c>
      <c r="G8" s="111">
        <f t="shared" si="2"/>
        <v>10337684.210526315</v>
      </c>
      <c r="H8" s="111">
        <f t="shared" si="3"/>
        <v>2.9438917933059952E-7</v>
      </c>
      <c r="I8" s="111">
        <f>G8/(Table112345791014[[#This Row],[b (mm)]]*Z8^2)</f>
        <v>2.8042763157894736E-3</v>
      </c>
      <c r="J8" s="111">
        <f t="shared" si="0"/>
        <v>0.77694235588972427</v>
      </c>
      <c r="K8" s="111">
        <f t="shared" si="1"/>
        <v>1.3275226946928932E-6</v>
      </c>
      <c r="L8" s="111">
        <f>E8/(Table112345791014[[#This Row],[b (mm)]]*Z8)</f>
        <v>9.0460526315789473E-4</v>
      </c>
      <c r="M8" s="111">
        <f>Table112345791014[[#This Row],[M (KN.mm)]]/(Table112345791014[[#This Row],[b (mm)]]*Table112345791014[[#This Row],[d (mm)]])</f>
        <v>10.768421052631579</v>
      </c>
      <c r="N8" s="111">
        <f>Table112345791014[[#This Row],[M (KN.mm)]]/(Table112345791014[[#This Row],[b (mm)]]*Table112345791014[[#This Row],[h (mm)]])</f>
        <v>10.337684210526316</v>
      </c>
      <c r="O8" s="111">
        <f>Table112345791014[[#This Row],[M (KN.mm)]]/(Table112345791014[[#This Row],[b (mm)]]*Table112345791014[[#This Row],[h (mm)]]*Table112345791014[[#This Row],[L(mm)]])</f>
        <v>4.3421052631578949E-4</v>
      </c>
      <c r="P8" s="111">
        <f>Table112345791014[[#This Row],[M (KN.mm)]]/(Table112345791014[[#This Row],[b (mm)]]*Table112345791014[[#This Row],[d (mm)]]*Table112345791014[[#This Row],[L(mm)]])</f>
        <v>4.5230263157894736E-4</v>
      </c>
      <c r="Q8" s="111">
        <f>Table112345791014[[#This Row],[M (KN.mm)]]/(Table112345791014[[#This Row],[b (mm)]]*Table112345791014[[#This Row],[h (mm)]]*Table112345791014[[#This Row],[L(mm)]]*Table112345791014[[#This Row],[fc (Mpa)]])</f>
        <v>1.0855263157894737E-5</v>
      </c>
      <c r="R8" s="111">
        <f>Table112345791014[[#This Row],[M (KN.mm)]]/(Table112345791014[[#This Row],[b (mm)]]*Table112345791014[[#This Row],[h (mm)]]*Table112345791014[[#This Row],[L(mm)]]/2)</f>
        <v>8.6842105263157897E-4</v>
      </c>
      <c r="S8" s="111">
        <f>Table112345791014[[#This Row],[M (KN.mm)]]/(Table112345791014[[#This Row],[a (mm)]]*Table112345791014[[#This Row],[b (mm)]]*Table112345791014[[#This Row],[h (mm)]]*Table112345791014[[#This Row],[L(mm)]]/2)</f>
        <v>7.2952037351443121E-8</v>
      </c>
      <c r="T8" s="111">
        <f>G8/($AL$5*AH8*0.001*Table112345791014[[#This Row],[pho (%)]])</f>
        <v>4.46044211106969E-7</v>
      </c>
      <c r="U8" s="111">
        <f>Table112345791014[[#This Row],[M (KN.mm)]]/(Table112345791014[[#This Row],[b (mm)]]*Table112345791014[[#This Row],[d (mm)]]*Table112345791014[[#This Row],[pho (%)]])</f>
        <v>16.315789473684209</v>
      </c>
      <c r="V8" s="111">
        <f>E8*224.8/(2*SQRT(Table112345791014[[#This Row],[fc (Mpa)]]*145.037)*Table112345791014[[#This Row],[b (mm)]]*Table112345791014[[#This Row],[d (mm)]]*(1/25.4)^2)</f>
        <v>0.86123853790876737</v>
      </c>
      <c r="W8" s="111">
        <f>Table112345791014[[#This Row],[M (KN.mm)]]/$G$11</f>
        <v>0.63598519888991678</v>
      </c>
      <c r="X8" s="111">
        <f t="shared" si="4"/>
        <v>0.86123853790876737</v>
      </c>
      <c r="Y8" s="111">
        <f>3.1*Table112345791014[[#This Row],[d (mm)]]</f>
        <v>11904</v>
      </c>
      <c r="Z8" s="111">
        <v>3840</v>
      </c>
      <c r="AA8" s="111">
        <v>4000</v>
      </c>
      <c r="AB8" s="111">
        <v>250</v>
      </c>
      <c r="AC8" s="7">
        <v>40</v>
      </c>
      <c r="AD8" s="111">
        <f>Table112345791014[[#This Row],[pho (%)]]*Table112345791014[[#This Row],[b (mm)]]*Table112345791014[[#This Row],[h (mm)]]/100</f>
        <v>6600</v>
      </c>
      <c r="AE8" s="111">
        <v>0.66</v>
      </c>
      <c r="AF8" s="111">
        <v>525</v>
      </c>
      <c r="AG8" s="111">
        <f>(1/3-0.21*(MIN(Table112345791014[[#This Row],[b (mm)]],AA8)/MAX(Table112345791014[[#This Row],[b (mm)]],AA8))*(MIN(Table112345791014[[#This Row],[b (mm)]],AA8)^4/(12*MAX(Table112345791014[[#This Row],[b (mm)]],AA8)^4)))*MAX(Table112345791014[[#This Row],[b (mm)]],AA8)*MIN(Table112345791014[[#This Row],[b (mm)]],AA8)^3</f>
        <v>20833332290.252048</v>
      </c>
      <c r="AH8" s="111">
        <f>Table112345791014[[#This Row],[b (mm)]]*AA8^3/12</f>
        <v>1333333333333.3333</v>
      </c>
      <c r="AI8" s="111">
        <f>Table112345791014[[#This Row],[a (mm)]]*2</f>
        <v>23808</v>
      </c>
      <c r="AK8"/>
      <c r="AL8"/>
      <c r="AM8"/>
    </row>
    <row r="9" spans="1:44" x14ac:dyDescent="0.25">
      <c r="A9" s="178" t="s">
        <v>193</v>
      </c>
      <c r="B9" s="176">
        <v>8</v>
      </c>
      <c r="C9" s="176">
        <v>8</v>
      </c>
      <c r="D9" s="176">
        <f>Table112345791014[[#This Row],[a (mm)]]/Table112345791014[[#This Row],[d (mm)]]</f>
        <v>3.1</v>
      </c>
      <c r="E9" s="176">
        <f>1750*12/19</f>
        <v>1105.2631578947369</v>
      </c>
      <c r="F9" s="137">
        <f>Table112345791014[[#This Row],[d (mm)]]</f>
        <v>3840</v>
      </c>
      <c r="G9" s="111">
        <f t="shared" si="2"/>
        <v>13157052.631578948</v>
      </c>
      <c r="H9" s="111">
        <f t="shared" si="3"/>
        <v>3.7467713732985401E-7</v>
      </c>
      <c r="I9" s="111">
        <f>G9/(Table112345791014[[#This Row],[b (mm)]]*Z9^2)</f>
        <v>3.5690789473684214E-3</v>
      </c>
      <c r="J9" s="111">
        <f t="shared" si="0"/>
        <v>0.98883572567783107</v>
      </c>
      <c r="K9" s="111">
        <f t="shared" si="1"/>
        <v>1.689574338700046E-6</v>
      </c>
      <c r="L9" s="111">
        <f>E9/(Table112345791014[[#This Row],[b (mm)]]*Z9)</f>
        <v>1.1513157894736843E-3</v>
      </c>
      <c r="M9" s="111">
        <f>Table112345791014[[#This Row],[M (KN.mm)]]/(Table112345791014[[#This Row],[b (mm)]]*Table112345791014[[#This Row],[d (mm)]])</f>
        <v>13.705263157894738</v>
      </c>
      <c r="N9" s="111">
        <f>Table112345791014[[#This Row],[M (KN.mm)]]/(Table112345791014[[#This Row],[b (mm)]]*Table112345791014[[#This Row],[h (mm)]])</f>
        <v>13.157052631578948</v>
      </c>
      <c r="O9" s="111">
        <f>Table112345791014[[#This Row],[M (KN.mm)]]/(Table112345791014[[#This Row],[b (mm)]]*Table112345791014[[#This Row],[h (mm)]]*Table112345791014[[#This Row],[L(mm)]])</f>
        <v>5.526315789473685E-4</v>
      </c>
      <c r="P9" s="111">
        <f>Table112345791014[[#This Row],[M (KN.mm)]]/(Table112345791014[[#This Row],[b (mm)]]*Table112345791014[[#This Row],[d (mm)]]*Table112345791014[[#This Row],[L(mm)]])</f>
        <v>5.7565789473684216E-4</v>
      </c>
      <c r="Q9" s="111">
        <f>Table112345791014[[#This Row],[M (KN.mm)]]/(Table112345791014[[#This Row],[b (mm)]]*Table112345791014[[#This Row],[h (mm)]]*Table112345791014[[#This Row],[L(mm)]]*Table112345791014[[#This Row],[fc (Mpa)]])</f>
        <v>1.3815789473684211E-5</v>
      </c>
      <c r="R9" s="111">
        <f>Table112345791014[[#This Row],[M (KN.mm)]]/(Table112345791014[[#This Row],[b (mm)]]*Table112345791014[[#This Row],[h (mm)]]*Table112345791014[[#This Row],[L(mm)]]/2)</f>
        <v>1.105263157894737E-3</v>
      </c>
      <c r="S9" s="111">
        <f>Table112345791014[[#This Row],[M (KN.mm)]]/(Table112345791014[[#This Row],[a (mm)]]*Table112345791014[[#This Row],[b (mm)]]*Table112345791014[[#This Row],[h (mm)]]*Table112345791014[[#This Row],[L(mm)]]/2)</f>
        <v>9.2848047538200351E-8</v>
      </c>
      <c r="T9" s="111">
        <f>G9/($AL$5*AH9*0.001*Table112345791014[[#This Row],[pho (%)]])</f>
        <v>5.6769263231796065E-7</v>
      </c>
      <c r="U9" s="111">
        <f>Table112345791014[[#This Row],[M (KN.mm)]]/(Table112345791014[[#This Row],[b (mm)]]*Table112345791014[[#This Row],[d (mm)]]*Table112345791014[[#This Row],[pho (%)]])</f>
        <v>20.76555023923445</v>
      </c>
      <c r="V9" s="111">
        <f>E9*224.8/(2*SQRT(Table112345791014[[#This Row],[fc (Mpa)]]*145.037)*Table112345791014[[#This Row],[b (mm)]]*Table112345791014[[#This Row],[d (mm)]]*(1/25.4)^2)</f>
        <v>1.0961217755202495</v>
      </c>
      <c r="W9" s="111">
        <f>Table112345791014[[#This Row],[M (KN.mm)]]/$G$11</f>
        <v>0.80943570767807593</v>
      </c>
      <c r="X9" s="111">
        <f t="shared" si="4"/>
        <v>1.0961217755202495</v>
      </c>
      <c r="Y9" s="111">
        <f>3.1*Table112345791014[[#This Row],[d (mm)]]</f>
        <v>11904</v>
      </c>
      <c r="Z9" s="111">
        <v>3840</v>
      </c>
      <c r="AA9" s="111">
        <v>4000</v>
      </c>
      <c r="AB9" s="111">
        <v>250</v>
      </c>
      <c r="AC9" s="7">
        <v>40</v>
      </c>
      <c r="AD9" s="111">
        <f>Table112345791014[[#This Row],[pho (%)]]*Table112345791014[[#This Row],[b (mm)]]*Table112345791014[[#This Row],[h (mm)]]/100</f>
        <v>6600</v>
      </c>
      <c r="AE9" s="111">
        <v>0.66</v>
      </c>
      <c r="AF9" s="111">
        <v>525</v>
      </c>
      <c r="AG9" s="111">
        <f>(1/3-0.21*(MIN(Table112345791014[[#This Row],[b (mm)]],AA9)/MAX(Table112345791014[[#This Row],[b (mm)]],AA9))*(MIN(Table112345791014[[#This Row],[b (mm)]],AA9)^4/(12*MAX(Table112345791014[[#This Row],[b (mm)]],AA9)^4)))*MAX(Table112345791014[[#This Row],[b (mm)]],AA9)*MIN(Table112345791014[[#This Row],[b (mm)]],AA9)^3</f>
        <v>20833332290.252048</v>
      </c>
      <c r="AH9" s="111">
        <f>Table112345791014[[#This Row],[b (mm)]]*AA9^3/12</f>
        <v>1333333333333.3333</v>
      </c>
      <c r="AI9" s="111">
        <f>Table112345791014[[#This Row],[a (mm)]]*2</f>
        <v>23808</v>
      </c>
      <c r="AK9"/>
      <c r="AL9"/>
      <c r="AM9"/>
    </row>
    <row r="10" spans="1:44" ht="12.75" customHeight="1" x14ac:dyDescent="0.25">
      <c r="A10" s="178" t="s">
        <v>193</v>
      </c>
      <c r="B10" s="176">
        <v>9</v>
      </c>
      <c r="C10" s="176">
        <v>9</v>
      </c>
      <c r="D10" s="176">
        <f>Table112345791014[[#This Row],[a (mm)]]/Table112345791014[[#This Row],[d (mm)]]</f>
        <v>3.1</v>
      </c>
      <c r="E10" s="176">
        <f>2019*12/19</f>
        <v>1275.1578947368421</v>
      </c>
      <c r="F10" s="137">
        <f>Table112345791014[[#This Row],[d (mm)]]</f>
        <v>3840</v>
      </c>
      <c r="G10" s="111">
        <f t="shared" si="2"/>
        <v>15179479.578947369</v>
      </c>
      <c r="H10" s="111">
        <f t="shared" si="3"/>
        <v>4.3227036586798584E-7</v>
      </c>
      <c r="I10" s="111">
        <f>G10/(Table112345791014[[#This Row],[b (mm)]]*Z10^2)</f>
        <v>4.1176973684210524E-3</v>
      </c>
      <c r="J10" s="111">
        <f t="shared" si="0"/>
        <v>1.1408339029391661</v>
      </c>
      <c r="K10" s="111">
        <f t="shared" si="1"/>
        <v>1.9492860513345103E-6</v>
      </c>
      <c r="L10" s="111">
        <f>E10/(Table112345791014[[#This Row],[b (mm)]]*Z10)</f>
        <v>1.3282894736842104E-3</v>
      </c>
      <c r="M10" s="111">
        <f>Table112345791014[[#This Row],[M (KN.mm)]]/(Table112345791014[[#This Row],[b (mm)]]*Table112345791014[[#This Row],[d (mm)]])</f>
        <v>15.811957894736842</v>
      </c>
      <c r="N10" s="111">
        <f>Table112345791014[[#This Row],[M (KN.mm)]]/(Table112345791014[[#This Row],[b (mm)]]*Table112345791014[[#This Row],[h (mm)]])</f>
        <v>15.179479578947369</v>
      </c>
      <c r="O10" s="111">
        <f>Table112345791014[[#This Row],[M (KN.mm)]]/(Table112345791014[[#This Row],[b (mm)]]*Table112345791014[[#This Row],[h (mm)]]*Table112345791014[[#This Row],[L(mm)]])</f>
        <v>6.375789473684211E-4</v>
      </c>
      <c r="P10" s="111">
        <f>Table112345791014[[#This Row],[M (KN.mm)]]/(Table112345791014[[#This Row],[b (mm)]]*Table112345791014[[#This Row],[d (mm)]]*Table112345791014[[#This Row],[L(mm)]])</f>
        <v>6.6414473684210532E-4</v>
      </c>
      <c r="Q10" s="111">
        <f>Table112345791014[[#This Row],[M (KN.mm)]]/(Table112345791014[[#This Row],[b (mm)]]*Table112345791014[[#This Row],[h (mm)]]*Table112345791014[[#This Row],[L(mm)]]*Table112345791014[[#This Row],[fc (Mpa)]])</f>
        <v>1.5939473684210526E-5</v>
      </c>
      <c r="R10" s="111">
        <f>Table112345791014[[#This Row],[M (KN.mm)]]/(Table112345791014[[#This Row],[b (mm)]]*Table112345791014[[#This Row],[h (mm)]]*Table112345791014[[#This Row],[L(mm)]]/2)</f>
        <v>1.2751578947368422E-3</v>
      </c>
      <c r="S10" s="111">
        <f>Table112345791014[[#This Row],[M (KN.mm)]]/(Table112345791014[[#This Row],[a (mm)]]*Table112345791014[[#This Row],[b (mm)]]*Table112345791014[[#This Row],[h (mm)]]*Table112345791014[[#This Row],[L(mm)]]/2)</f>
        <v>1.0712011884550085E-7</v>
      </c>
      <c r="T10" s="111">
        <f>G10/($AL$5*AH10*0.001*Table112345791014[[#This Row],[pho (%)]])</f>
        <v>6.5495509979997851E-7</v>
      </c>
      <c r="U10" s="111">
        <f>Table112345791014[[#This Row],[M (KN.mm)]]/(Table112345791014[[#This Row],[b (mm)]]*Table112345791014[[#This Row],[d (mm)]]*Table112345791014[[#This Row],[pho (%)]])</f>
        <v>23.957511961722489</v>
      </c>
      <c r="V10" s="111">
        <f>E10*224.8/(2*SQRT(Table112345791014[[#This Row],[fc (Mpa)]]*145.037)*Table112345791014[[#This Row],[b (mm)]]*Table112345791014[[#This Row],[d (mm)]]*(1/25.4)^2)</f>
        <v>1.2646113513002191</v>
      </c>
      <c r="W10" s="111">
        <f>Table112345791014[[#This Row],[M (KN.mm)]]/$G$11</f>
        <v>0.93385753931544868</v>
      </c>
      <c r="X10" s="111">
        <f t="shared" si="4"/>
        <v>1.2646113513002191</v>
      </c>
      <c r="Y10" s="111">
        <f>3.1*Table112345791014[[#This Row],[d (mm)]]</f>
        <v>11904</v>
      </c>
      <c r="Z10" s="111">
        <v>3840</v>
      </c>
      <c r="AA10" s="111">
        <v>4000</v>
      </c>
      <c r="AB10" s="111">
        <v>250</v>
      </c>
      <c r="AC10" s="7">
        <v>40</v>
      </c>
      <c r="AD10" s="111">
        <f>Table112345791014[[#This Row],[pho (%)]]*Table112345791014[[#This Row],[b (mm)]]*Table112345791014[[#This Row],[h (mm)]]/100</f>
        <v>6600</v>
      </c>
      <c r="AE10" s="111">
        <v>0.66</v>
      </c>
      <c r="AF10" s="111">
        <v>525</v>
      </c>
      <c r="AG10" s="111">
        <f>(1/3-0.21*(MIN(Table112345791014[[#This Row],[b (mm)]],AA10)/MAX(Table112345791014[[#This Row],[b (mm)]],AA10))*(MIN(Table112345791014[[#This Row],[b (mm)]],AA10)^4/(12*MAX(Table112345791014[[#This Row],[b (mm)]],AA10)^4)))*MAX(Table112345791014[[#This Row],[b (mm)]],AA10)*MIN(Table112345791014[[#This Row],[b (mm)]],AA10)^3</f>
        <v>20833332290.252048</v>
      </c>
      <c r="AH10" s="111">
        <f>Table112345791014[[#This Row],[b (mm)]]*AA10^3/12</f>
        <v>1333333333333.3333</v>
      </c>
      <c r="AI10" s="111">
        <f>Table112345791014[[#This Row],[a (mm)]]*2</f>
        <v>23808</v>
      </c>
      <c r="AK10"/>
      <c r="AL10"/>
      <c r="AM10"/>
    </row>
    <row r="11" spans="1:44" x14ac:dyDescent="0.25">
      <c r="A11" s="178" t="s">
        <v>193</v>
      </c>
      <c r="B11" s="176">
        <v>10</v>
      </c>
      <c r="C11" s="176">
        <v>10</v>
      </c>
      <c r="D11" s="176">
        <f>Table112345791014[[#This Row],[a (mm)]]/Table112345791014[[#This Row],[d (mm)]]</f>
        <v>3.1</v>
      </c>
      <c r="E11" s="176">
        <f>2162*12/19</f>
        <v>1365.4736842105262</v>
      </c>
      <c r="F11" s="137">
        <f>Table112345791014[[#This Row],[d (mm)]]</f>
        <v>3840</v>
      </c>
      <c r="G11" s="111">
        <f t="shared" si="2"/>
        <v>16254598.736842105</v>
      </c>
      <c r="H11" s="111">
        <f t="shared" si="3"/>
        <v>4.6288684051836819E-7</v>
      </c>
      <c r="I11" s="111">
        <f>G11/(Table112345791014[[#This Row],[b (mm)]]*Z11^2)</f>
        <v>4.4093421052631577E-3</v>
      </c>
      <c r="J11" s="111">
        <f t="shared" si="0"/>
        <v>1.2216359079516974</v>
      </c>
      <c r="K11" s="111">
        <f t="shared" si="1"/>
        <v>2.0873484115825709E-6</v>
      </c>
      <c r="L11" s="111">
        <f>E11/(Table112345791014[[#This Row],[b (mm)]]*Z11)</f>
        <v>1.4223684210526316E-3</v>
      </c>
      <c r="M11" s="111">
        <f>Table112345791014[[#This Row],[M (KN.mm)]]/(Table112345791014[[#This Row],[b (mm)]]*Table112345791014[[#This Row],[d (mm)]])</f>
        <v>16.931873684210526</v>
      </c>
      <c r="N11" s="111">
        <f>Table112345791014[[#This Row],[M (KN.mm)]]/(Table112345791014[[#This Row],[b (mm)]]*Table112345791014[[#This Row],[h (mm)]])</f>
        <v>16.254598736842105</v>
      </c>
      <c r="O11" s="111">
        <f>Table112345791014[[#This Row],[M (KN.mm)]]/(Table112345791014[[#This Row],[b (mm)]]*Table112345791014[[#This Row],[h (mm)]]*Table112345791014[[#This Row],[L(mm)]])</f>
        <v>6.827368421052631E-4</v>
      </c>
      <c r="P11" s="111">
        <f>Table112345791014[[#This Row],[M (KN.mm)]]/(Table112345791014[[#This Row],[b (mm)]]*Table112345791014[[#This Row],[d (mm)]]*Table112345791014[[#This Row],[L(mm)]])</f>
        <v>7.1118421052631579E-4</v>
      </c>
      <c r="Q11" s="111">
        <f>Table112345791014[[#This Row],[M (KN.mm)]]/(Table112345791014[[#This Row],[b (mm)]]*Table112345791014[[#This Row],[h (mm)]]*Table112345791014[[#This Row],[L(mm)]]*Table112345791014[[#This Row],[fc (Mpa)]])</f>
        <v>1.706842105263158E-5</v>
      </c>
      <c r="R11" s="111">
        <f>Table112345791014[[#This Row],[M (KN.mm)]]/(Table112345791014[[#This Row],[b (mm)]]*Table112345791014[[#This Row],[h (mm)]]*Table112345791014[[#This Row],[L(mm)]]/2)</f>
        <v>1.3654736842105262E-3</v>
      </c>
      <c r="S11" s="111">
        <f>Table112345791014[[#This Row],[M (KN.mm)]]/(Table112345791014[[#This Row],[a (mm)]]*Table112345791014[[#This Row],[b (mm)]]*Table112345791014[[#This Row],[h (mm)]]*Table112345791014[[#This Row],[L(mm)]]/2)</f>
        <v>1.1470713073005094E-7</v>
      </c>
      <c r="T11" s="111">
        <f>G11/($AL$5*AH11*0.001*Table112345791014[[#This Row],[pho (%)]])</f>
        <v>7.0134369775510327E-7</v>
      </c>
      <c r="U11" s="111">
        <f>Table112345791014[[#This Row],[M (KN.mm)]]/(Table112345791014[[#This Row],[b (mm)]]*Table112345791014[[#This Row],[d (mm)]]*Table112345791014[[#This Row],[pho (%)]])</f>
        <v>25.654354066985647</v>
      </c>
      <c r="V11" s="111">
        <f>E11*224.8/(2*SQRT(Table112345791014[[#This Row],[fc (Mpa)]]*145.037)*Table112345791014[[#This Row],[b (mm)]]*Table112345791014[[#This Row],[d (mm)]]*(1/25.4)^2)</f>
        <v>1.3541801592427309</v>
      </c>
      <c r="W11" s="111">
        <f>Table112345791014[[#This Row],[M (KN.mm)]]/$G$11</f>
        <v>1</v>
      </c>
      <c r="X11" s="111">
        <f t="shared" si="4"/>
        <v>1.3541801592427309</v>
      </c>
      <c r="Y11" s="111">
        <f>3.1*Table112345791014[[#This Row],[d (mm)]]</f>
        <v>11904</v>
      </c>
      <c r="Z11" s="111">
        <v>3840</v>
      </c>
      <c r="AA11" s="111">
        <v>4000</v>
      </c>
      <c r="AB11" s="111">
        <v>250</v>
      </c>
      <c r="AC11" s="7">
        <v>40</v>
      </c>
      <c r="AD11" s="111">
        <f>Table112345791014[[#This Row],[pho (%)]]*Table112345791014[[#This Row],[b (mm)]]*Table112345791014[[#This Row],[h (mm)]]/100</f>
        <v>6600</v>
      </c>
      <c r="AE11" s="111">
        <v>0.66</v>
      </c>
      <c r="AF11" s="111">
        <v>525</v>
      </c>
      <c r="AG11" s="111">
        <f>(1/3-0.21*(MIN(Table112345791014[[#This Row],[b (mm)]],AA11)/MAX(Table112345791014[[#This Row],[b (mm)]],AA11))*(MIN(Table112345791014[[#This Row],[b (mm)]],AA11)^4/(12*MAX(Table112345791014[[#This Row],[b (mm)]],AA11)^4)))*MAX(Table112345791014[[#This Row],[b (mm)]],AA11)*MIN(Table112345791014[[#This Row],[b (mm)]],AA11)^3</f>
        <v>20833332290.252048</v>
      </c>
      <c r="AH11" s="111">
        <f>Table112345791014[[#This Row],[b (mm)]]*AA11^3/12</f>
        <v>1333333333333.3333</v>
      </c>
      <c r="AI11" s="111">
        <f>Table112345791014[[#This Row],[a (mm)]]*2</f>
        <v>23808</v>
      </c>
      <c r="AK11"/>
      <c r="AL11"/>
      <c r="AM11"/>
    </row>
    <row r="12" spans="1:44" ht="17.25" customHeight="1" x14ac:dyDescent="0.25">
      <c r="A12" s="325" t="s">
        <v>237</v>
      </c>
      <c r="B12" s="326">
        <v>11</v>
      </c>
      <c r="C12" s="325">
        <v>1</v>
      </c>
      <c r="D12" s="325">
        <v>2.86</v>
      </c>
      <c r="E12" s="325">
        <v>98</v>
      </c>
      <c r="F12" s="137">
        <f>Table112345791014[[#This Row],[d (mm)]]</f>
        <v>1890</v>
      </c>
      <c r="G12" s="111">
        <f t="shared" ref="G12:G21" si="5">E12*Y12</f>
        <v>529729.19999999995</v>
      </c>
      <c r="H12" s="111">
        <f t="shared" ref="H12:H21" si="6">G12/($AL$5*AH12*0.001)</f>
        <v>1.0056832928253114E-7</v>
      </c>
      <c r="I12" s="111">
        <f>G12/(Table112345791014[[#This Row],[b (mm)]]*Z12^2)</f>
        <v>4.9432098765432098E-4</v>
      </c>
      <c r="J12" s="111">
        <f t="shared" ref="J12:J21" si="7">G12/(AD12*AF12*Z12*0.001)</f>
        <v>0.12001164662761621</v>
      </c>
      <c r="K12" s="111">
        <f t="shared" ref="K12:K21" si="8">E12/($AL$4*AG12*0.001)</f>
        <v>1.7339064171973656E-7</v>
      </c>
      <c r="L12" s="111">
        <f>E12/(Table112345791014[[#This Row],[b (mm)]]*Z12)</f>
        <v>1.728395061728395E-4</v>
      </c>
      <c r="M12" s="111">
        <f>Table112345791014[[#This Row],[M (KN.mm)]]/(Table112345791014[[#This Row],[b (mm)]]*Table112345791014[[#This Row],[d (mm)]])</f>
        <v>0.93426666666666658</v>
      </c>
      <c r="N12" s="111">
        <f>Table112345791014[[#This Row],[M (KN.mm)]]/(Table112345791014[[#This Row],[b (mm)]]*Table112345791014[[#This Row],[h (mm)]])</f>
        <v>0.88288199999999994</v>
      </c>
      <c r="O12" s="111">
        <f>Table112345791014[[#This Row],[M (KN.mm)]]/(Table112345791014[[#This Row],[b (mm)]]*Table112345791014[[#This Row],[h (mm)]]*Table112345791014[[#This Row],[L(mm)]])</f>
        <v>8.1666666666666655E-5</v>
      </c>
      <c r="P12" s="111">
        <f>Table112345791014[[#This Row],[M (KN.mm)]]/(Table112345791014[[#This Row],[b (mm)]]*Table112345791014[[#This Row],[d (mm)]]*Table112345791014[[#This Row],[L(mm)]])</f>
        <v>8.641975308641975E-5</v>
      </c>
      <c r="Q12" s="111">
        <f>Table112345791014[[#This Row],[M (KN.mm)]]/(Table112345791014[[#This Row],[b (mm)]]*Table112345791014[[#This Row],[h (mm)]]*Table112345791014[[#This Row],[L(mm)]]*Table112345791014[[#This Row],[fc (Mpa)]])</f>
        <v>2.5681341719077567E-6</v>
      </c>
      <c r="R12" s="111">
        <f>Table112345791014[[#This Row],[M (KN.mm)]]/(Table112345791014[[#This Row],[b (mm)]]*Table112345791014[[#This Row],[h (mm)]]*Table112345791014[[#This Row],[L(mm)]]/2)</f>
        <v>1.6333333333333331E-4</v>
      </c>
      <c r="S12" s="111">
        <f>Table112345791014[[#This Row],[M (KN.mm)]]/(Table112345791014[[#This Row],[a (mm)]]*Table112345791014[[#This Row],[b (mm)]]*Table112345791014[[#This Row],[h (mm)]]*Table112345791014[[#This Row],[L(mm)]]/2)</f>
        <v>3.0216696883363548E-8</v>
      </c>
      <c r="T12" s="111">
        <f>G12/($AL$5*AH12*0.001*Table112345791014[[#This Row],[pho (%)]])</f>
        <v>1.3590314767909615E-7</v>
      </c>
      <c r="U12" s="111">
        <f>Table112345791014[[#This Row],[M (KN.mm)]]/(Table112345791014[[#This Row],[b (mm)]]*Table112345791014[[#This Row],[d (mm)]]*Table112345791014[[#This Row],[pho (%)]])</f>
        <v>1.2625225225225225</v>
      </c>
      <c r="V12" s="111">
        <f>E12*224.8/(2*SQRT(Table112345791014[[#This Row],[fc (Mpa)]]*145.037)*Table112345791014[[#This Row],[b (mm)]]*Table112345791014[[#This Row],[d (mm)]]*(1/25.4)^2)</f>
        <v>0.18455414226027525</v>
      </c>
      <c r="W12" s="111">
        <f>Table112345791014[[#This Row],[M (KN.mm)]]/$G$15</f>
        <v>0.42608695652173911</v>
      </c>
      <c r="X12" s="111">
        <f t="shared" si="4"/>
        <v>0.18455414226027525</v>
      </c>
      <c r="Y12" s="135">
        <f>2.86*Table112345791014[[#This Row],[d (mm)]]</f>
        <v>5405.4</v>
      </c>
      <c r="Z12" s="135">
        <v>1890</v>
      </c>
      <c r="AA12" s="135">
        <v>2000</v>
      </c>
      <c r="AB12" s="134">
        <v>300</v>
      </c>
      <c r="AC12" s="7">
        <v>31.8</v>
      </c>
      <c r="AD12" s="111">
        <f>Table112345791014[[#This Row],[pho (%)]]*Table112345791014[[#This Row],[b (mm)]]*Table112345791014[[#This Row],[h (mm)]]/100</f>
        <v>4440</v>
      </c>
      <c r="AE12" s="135">
        <v>0.74</v>
      </c>
      <c r="AF12" s="111">
        <v>526</v>
      </c>
      <c r="AG12" s="111">
        <f>(1/3-0.21*(MIN(Table112345791014[[#This Row],[b (mm)]],AA12)/MAX(Table112345791014[[#This Row],[b (mm)]],AA12))*(MIN(Table112345791014[[#This Row],[b (mm)]],AA12)^4/(12*MAX(Table112345791014[[#This Row],[b (mm)]],AA12)^4)))*MAX(Table112345791014[[#This Row],[b (mm)]],AA12)*MIN(Table112345791014[[#This Row],[b (mm)]],AA12)^3</f>
        <v>17999928239.0625</v>
      </c>
      <c r="AH12" s="111">
        <f>Table112345791014[[#This Row],[b (mm)]]*AA12^3/12</f>
        <v>200000000000</v>
      </c>
      <c r="AI12" s="111">
        <f>Table112345791014[[#This Row],[a (mm)]]*2</f>
        <v>10810.8</v>
      </c>
      <c r="AK12"/>
      <c r="AL12"/>
      <c r="AM12"/>
      <c r="AN12"/>
      <c r="AO12"/>
      <c r="AP12"/>
      <c r="AQ12"/>
      <c r="AR12"/>
    </row>
    <row r="13" spans="1:44" x14ac:dyDescent="0.25">
      <c r="A13" s="325" t="s">
        <v>237</v>
      </c>
      <c r="B13" s="326">
        <v>12</v>
      </c>
      <c r="C13" s="325">
        <v>2</v>
      </c>
      <c r="D13" s="325">
        <v>2.86</v>
      </c>
      <c r="E13" s="325">
        <v>117</v>
      </c>
      <c r="F13" s="137">
        <f>Table112345791014[[#This Row],[d (mm)]]</f>
        <v>1890</v>
      </c>
      <c r="G13" s="111">
        <f t="shared" si="5"/>
        <v>632431.79999999993</v>
      </c>
      <c r="H13" s="111">
        <f t="shared" si="6"/>
        <v>1.2006627067404228E-7</v>
      </c>
      <c r="I13" s="111">
        <f>G13/(Table112345791014[[#This Row],[b (mm)]]*Z13^2)</f>
        <v>5.9015873015873005E-4</v>
      </c>
      <c r="J13" s="111">
        <f t="shared" si="7"/>
        <v>0.14300733370942098</v>
      </c>
      <c r="K13" s="111">
        <f t="shared" si="8"/>
        <v>2.0700719470621611E-7</v>
      </c>
      <c r="L13" s="111">
        <f>E13/(Table112345791014[[#This Row],[b (mm)]]*Z13)</f>
        <v>2.0634920634920634E-4</v>
      </c>
      <c r="M13" s="111">
        <f>Table112345791014[[#This Row],[M (KN.mm)]]/(Table112345791014[[#This Row],[b (mm)]]*Table112345791014[[#This Row],[d (mm)]])</f>
        <v>1.1153999999999999</v>
      </c>
      <c r="N13" s="111">
        <f>Table112345791014[[#This Row],[M (KN.mm)]]/(Table112345791014[[#This Row],[b (mm)]]*Table112345791014[[#This Row],[h (mm)]])</f>
        <v>1.0540529999999999</v>
      </c>
      <c r="O13" s="111">
        <f>Table112345791014[[#This Row],[M (KN.mm)]]/(Table112345791014[[#This Row],[b (mm)]]*Table112345791014[[#This Row],[h (mm)]]*Table112345791014[[#This Row],[L(mm)]])</f>
        <v>9.7499999999999985E-5</v>
      </c>
      <c r="P13" s="111">
        <f>Table112345791014[[#This Row],[M (KN.mm)]]/(Table112345791014[[#This Row],[b (mm)]]*Table112345791014[[#This Row],[d (mm)]]*Table112345791014[[#This Row],[L(mm)]])</f>
        <v>1.0317460317460316E-4</v>
      </c>
      <c r="Q13" s="111">
        <f>Table112345791014[[#This Row],[M (KN.mm)]]/(Table112345791014[[#This Row],[b (mm)]]*Table112345791014[[#This Row],[h (mm)]]*Table112345791014[[#This Row],[L(mm)]]*Table112345791014[[#This Row],[fc (Mpa)]])</f>
        <v>3.0660377358490562E-6</v>
      </c>
      <c r="R13" s="111">
        <f>Table112345791014[[#This Row],[M (KN.mm)]]/(Table112345791014[[#This Row],[b (mm)]]*Table112345791014[[#This Row],[h (mm)]]*Table112345791014[[#This Row],[L(mm)]]/2)</f>
        <v>1.9499999999999997E-4</v>
      </c>
      <c r="S13" s="111">
        <f>Table112345791014[[#This Row],[M (KN.mm)]]/(Table112345791014[[#This Row],[a (mm)]]*Table112345791014[[#This Row],[b (mm)]]*Table112345791014[[#This Row],[h (mm)]]*Table112345791014[[#This Row],[L(mm)]]/2)</f>
        <v>3.6075036075036077E-8</v>
      </c>
      <c r="T13" s="111">
        <f>G13/($AL$5*AH13*0.001*Table112345791014[[#This Row],[pho (%)]])</f>
        <v>1.6225171712708416E-7</v>
      </c>
      <c r="U13" s="111">
        <f>Table112345791014[[#This Row],[M (KN.mm)]]/(Table112345791014[[#This Row],[b (mm)]]*Table112345791014[[#This Row],[d (mm)]]*Table112345791014[[#This Row],[pho (%)]])</f>
        <v>1.5072972972972971</v>
      </c>
      <c r="V13" s="111">
        <f>E13*224.8/(2*SQRT(Table112345791014[[#This Row],[fc (Mpa)]]*145.037)*Table112345791014[[#This Row],[b (mm)]]*Table112345791014[[#This Row],[d (mm)]]*(1/25.4)^2)</f>
        <v>0.22033504739236945</v>
      </c>
      <c r="W13" s="111">
        <f>Table112345791014[[#This Row],[M (KN.mm)]]/$G$15</f>
        <v>0.50869565217391299</v>
      </c>
      <c r="X13" s="111">
        <f t="shared" si="4"/>
        <v>0.22033504739236945</v>
      </c>
      <c r="Y13" s="135">
        <f>2.86*Table112345791014[[#This Row],[d (mm)]]</f>
        <v>5405.4</v>
      </c>
      <c r="Z13" s="135">
        <v>1890</v>
      </c>
      <c r="AA13" s="135">
        <v>2000</v>
      </c>
      <c r="AB13" s="134">
        <v>300</v>
      </c>
      <c r="AC13" s="7">
        <v>31.8</v>
      </c>
      <c r="AD13" s="111">
        <f>Table112345791014[[#This Row],[pho (%)]]*Table112345791014[[#This Row],[b (mm)]]*Table112345791014[[#This Row],[h (mm)]]/100</f>
        <v>4440</v>
      </c>
      <c r="AE13" s="135">
        <v>0.74</v>
      </c>
      <c r="AF13" s="111">
        <v>527</v>
      </c>
      <c r="AG13" s="111">
        <f>(1/3-0.21*(MIN(Table112345791014[[#This Row],[b (mm)]],AA13)/MAX(Table112345791014[[#This Row],[b (mm)]],AA13))*(MIN(Table112345791014[[#This Row],[b (mm)]],AA13)^4/(12*MAX(Table112345791014[[#This Row],[b (mm)]],AA13)^4)))*MAX(Table112345791014[[#This Row],[b (mm)]],AA13)*MIN(Table112345791014[[#This Row],[b (mm)]],AA13)^3</f>
        <v>17999928239.0625</v>
      </c>
      <c r="AH13" s="111">
        <f>Table112345791014[[#This Row],[b (mm)]]*AA13^3/12</f>
        <v>200000000000</v>
      </c>
      <c r="AI13" s="111">
        <f>Table112345791014[[#This Row],[a (mm)]]*2</f>
        <v>10810.8</v>
      </c>
      <c r="AK13"/>
      <c r="AL13"/>
      <c r="AM13"/>
      <c r="AN13"/>
      <c r="AO13"/>
      <c r="AP13"/>
      <c r="AQ13"/>
      <c r="AR13"/>
    </row>
    <row r="14" spans="1:44" x14ac:dyDescent="0.25">
      <c r="A14" s="325" t="s">
        <v>237</v>
      </c>
      <c r="B14" s="326">
        <v>13</v>
      </c>
      <c r="C14" s="325">
        <v>3</v>
      </c>
      <c r="D14" s="325">
        <v>2.86</v>
      </c>
      <c r="E14" s="325">
        <v>175</v>
      </c>
      <c r="F14" s="137">
        <f>Table112345791014[[#This Row],[d (mm)]]</f>
        <v>1890</v>
      </c>
      <c r="G14" s="111">
        <f t="shared" si="5"/>
        <v>945944.99999999988</v>
      </c>
      <c r="H14" s="111">
        <f t="shared" si="6"/>
        <v>1.7958630229023419E-7</v>
      </c>
      <c r="I14" s="111">
        <f>G14/(Table112345791014[[#This Row],[b (mm)]]*Z14^2)</f>
        <v>8.8271604938271598E-4</v>
      </c>
      <c r="J14" s="111">
        <f t="shared" si="7"/>
        <v>0.21349474474474472</v>
      </c>
      <c r="K14" s="111">
        <f t="shared" si="8"/>
        <v>3.0962614592810103E-7</v>
      </c>
      <c r="L14" s="111">
        <f>E14/(Table112345791014[[#This Row],[b (mm)]]*Z14)</f>
        <v>3.0864197530864197E-4</v>
      </c>
      <c r="M14" s="111">
        <f>Table112345791014[[#This Row],[M (KN.mm)]]/(Table112345791014[[#This Row],[b (mm)]]*Table112345791014[[#This Row],[d (mm)]])</f>
        <v>1.6683333333333332</v>
      </c>
      <c r="N14" s="111">
        <f>Table112345791014[[#This Row],[M (KN.mm)]]/(Table112345791014[[#This Row],[b (mm)]]*Table112345791014[[#This Row],[h (mm)]])</f>
        <v>1.5765749999999998</v>
      </c>
      <c r="O14" s="111">
        <f>Table112345791014[[#This Row],[M (KN.mm)]]/(Table112345791014[[#This Row],[b (mm)]]*Table112345791014[[#This Row],[h (mm)]]*Table112345791014[[#This Row],[L(mm)]])</f>
        <v>1.4583333333333332E-4</v>
      </c>
      <c r="P14" s="111">
        <f>Table112345791014[[#This Row],[M (KN.mm)]]/(Table112345791014[[#This Row],[b (mm)]]*Table112345791014[[#This Row],[d (mm)]]*Table112345791014[[#This Row],[L(mm)]])</f>
        <v>1.5432098765432096E-4</v>
      </c>
      <c r="Q14" s="111">
        <f>Table112345791014[[#This Row],[M (KN.mm)]]/(Table112345791014[[#This Row],[b (mm)]]*Table112345791014[[#This Row],[h (mm)]]*Table112345791014[[#This Row],[L(mm)]]*Table112345791014[[#This Row],[fc (Mpa)]])</f>
        <v>4.5859538784067084E-6</v>
      </c>
      <c r="R14" s="111">
        <f>Table112345791014[[#This Row],[M (KN.mm)]]/(Table112345791014[[#This Row],[b (mm)]]*Table112345791014[[#This Row],[h (mm)]]*Table112345791014[[#This Row],[L(mm)]]/2)</f>
        <v>2.9166666666666664E-4</v>
      </c>
      <c r="S14" s="111">
        <f>Table112345791014[[#This Row],[M (KN.mm)]]/(Table112345791014[[#This Row],[a (mm)]]*Table112345791014[[#This Row],[b (mm)]]*Table112345791014[[#This Row],[h (mm)]]*Table112345791014[[#This Row],[L(mm)]]/2)</f>
        <v>5.3958387291720622E-8</v>
      </c>
      <c r="T14" s="111">
        <f>G14/($AL$5*AH14*0.001*Table112345791014[[#This Row],[pho (%)]])</f>
        <v>2.4268419228410021E-7</v>
      </c>
      <c r="U14" s="111">
        <f>Table112345791014[[#This Row],[M (KN.mm)]]/(Table112345791014[[#This Row],[b (mm)]]*Table112345791014[[#This Row],[d (mm)]]*Table112345791014[[#This Row],[pho (%)]])</f>
        <v>2.2545045045045042</v>
      </c>
      <c r="V14" s="111">
        <f>E14*224.8/(2*SQRT(Table112345791014[[#This Row],[fc (Mpa)]]*145.037)*Table112345791014[[#This Row],[b (mm)]]*Table112345791014[[#This Row],[d (mm)]]*(1/25.4)^2)</f>
        <v>0.32956096832192006</v>
      </c>
      <c r="W14" s="111">
        <f>Table112345791014[[#This Row],[M (KN.mm)]]/$G$15</f>
        <v>0.76086956521739124</v>
      </c>
      <c r="X14" s="111">
        <f t="shared" si="4"/>
        <v>0.32956096832192006</v>
      </c>
      <c r="Y14" s="135">
        <f>2.86*Table112345791014[[#This Row],[d (mm)]]</f>
        <v>5405.4</v>
      </c>
      <c r="Z14" s="135">
        <v>1890</v>
      </c>
      <c r="AA14" s="135">
        <v>2000</v>
      </c>
      <c r="AB14" s="134">
        <v>300</v>
      </c>
      <c r="AC14" s="7">
        <v>31.8</v>
      </c>
      <c r="AD14" s="111">
        <f>Table112345791014[[#This Row],[pho (%)]]*Table112345791014[[#This Row],[b (mm)]]*Table112345791014[[#This Row],[h (mm)]]/100</f>
        <v>4440</v>
      </c>
      <c r="AE14" s="135">
        <v>0.74</v>
      </c>
      <c r="AF14" s="111">
        <v>528</v>
      </c>
      <c r="AG14" s="111">
        <f>(1/3-0.21*(MIN(Table112345791014[[#This Row],[b (mm)]],AA14)/MAX(Table112345791014[[#This Row],[b (mm)]],AA14))*(MIN(Table112345791014[[#This Row],[b (mm)]],AA14)^4/(12*MAX(Table112345791014[[#This Row],[b (mm)]],AA14)^4)))*MAX(Table112345791014[[#This Row],[b (mm)]],AA14)*MIN(Table112345791014[[#This Row],[b (mm)]],AA14)^3</f>
        <v>17999928239.0625</v>
      </c>
      <c r="AH14" s="111">
        <f>Table112345791014[[#This Row],[b (mm)]]*AA14^3/12</f>
        <v>200000000000</v>
      </c>
      <c r="AI14" s="111">
        <f>Table112345791014[[#This Row],[a (mm)]]*2</f>
        <v>10810.8</v>
      </c>
      <c r="AK14"/>
      <c r="AL14"/>
      <c r="AM14"/>
      <c r="AN14"/>
      <c r="AO14"/>
      <c r="AP14"/>
      <c r="AQ14"/>
      <c r="AR14"/>
    </row>
    <row r="15" spans="1:44" x14ac:dyDescent="0.25">
      <c r="A15" s="325" t="s">
        <v>237</v>
      </c>
      <c r="B15" s="326">
        <v>14</v>
      </c>
      <c r="C15" s="325">
        <v>4</v>
      </c>
      <c r="D15" s="325">
        <v>2.86</v>
      </c>
      <c r="E15" s="325">
        <v>230</v>
      </c>
      <c r="F15" s="137">
        <f>Table112345791014[[#This Row],[d (mm)]]</f>
        <v>1890</v>
      </c>
      <c r="G15" s="111">
        <f t="shared" si="5"/>
        <v>1243242</v>
      </c>
      <c r="H15" s="111">
        <f t="shared" si="6"/>
        <v>2.3602771158145065E-7</v>
      </c>
      <c r="I15" s="111">
        <f>G15/(Table112345791014[[#This Row],[b (mm)]]*Z15^2)</f>
        <v>1.1601410934744267E-3</v>
      </c>
      <c r="J15" s="111">
        <f t="shared" si="7"/>
        <v>0.28006267136701918</v>
      </c>
      <c r="K15" s="111">
        <f t="shared" si="8"/>
        <v>4.0693722036264704E-7</v>
      </c>
      <c r="L15" s="111">
        <f>E15/(Table112345791014[[#This Row],[b (mm)]]*Z15)</f>
        <v>4.0564373897707232E-4</v>
      </c>
      <c r="M15" s="111">
        <f>Table112345791014[[#This Row],[M (KN.mm)]]/(Table112345791014[[#This Row],[b (mm)]]*Table112345791014[[#This Row],[d (mm)]])</f>
        <v>2.1926666666666668</v>
      </c>
      <c r="N15" s="111">
        <f>Table112345791014[[#This Row],[M (KN.mm)]]/(Table112345791014[[#This Row],[b (mm)]]*Table112345791014[[#This Row],[h (mm)]])</f>
        <v>2.0720700000000001</v>
      </c>
      <c r="O15" s="111">
        <f>Table112345791014[[#This Row],[M (KN.mm)]]/(Table112345791014[[#This Row],[b (mm)]]*Table112345791014[[#This Row],[h (mm)]]*Table112345791014[[#This Row],[L(mm)]])</f>
        <v>1.9166666666666667E-4</v>
      </c>
      <c r="P15" s="111">
        <f>Table112345791014[[#This Row],[M (KN.mm)]]/(Table112345791014[[#This Row],[b (mm)]]*Table112345791014[[#This Row],[d (mm)]]*Table112345791014[[#This Row],[L(mm)]])</f>
        <v>2.0282186948853616E-4</v>
      </c>
      <c r="Q15" s="111">
        <f>Table112345791014[[#This Row],[M (KN.mm)]]/(Table112345791014[[#This Row],[b (mm)]]*Table112345791014[[#This Row],[h (mm)]]*Table112345791014[[#This Row],[L(mm)]]*Table112345791014[[#This Row],[fc (Mpa)]])</f>
        <v>6.0272536687631029E-6</v>
      </c>
      <c r="R15" s="111">
        <f>Table112345791014[[#This Row],[M (KN.mm)]]/(Table112345791014[[#This Row],[b (mm)]]*Table112345791014[[#This Row],[h (mm)]]*Table112345791014[[#This Row],[L(mm)]]/2)</f>
        <v>3.8333333333333334E-4</v>
      </c>
      <c r="S15" s="111">
        <f>Table112345791014[[#This Row],[M (KN.mm)]]/(Table112345791014[[#This Row],[a (mm)]]*Table112345791014[[#This Row],[b (mm)]]*Table112345791014[[#This Row],[h (mm)]]*Table112345791014[[#This Row],[L(mm)]]/2)</f>
        <v>7.0916737583404264E-8</v>
      </c>
      <c r="T15" s="111">
        <f>G15/($AL$5*AH15*0.001*Table112345791014[[#This Row],[pho (%)]])</f>
        <v>3.1895636700196035E-7</v>
      </c>
      <c r="U15" s="111">
        <f>Table112345791014[[#This Row],[M (KN.mm)]]/(Table112345791014[[#This Row],[b (mm)]]*Table112345791014[[#This Row],[d (mm)]]*Table112345791014[[#This Row],[pho (%)]])</f>
        <v>2.9630630630630632</v>
      </c>
      <c r="V15" s="111">
        <f>E15*224.8/(2*SQRT(Table112345791014[[#This Row],[fc (Mpa)]]*145.037)*Table112345791014[[#This Row],[b (mm)]]*Table112345791014[[#This Row],[d (mm)]]*(1/25.4)^2)</f>
        <v>0.43313727265166641</v>
      </c>
      <c r="W15" s="111">
        <f>Table112345791014[[#This Row],[M (KN.mm)]]/$G$15</f>
        <v>1</v>
      </c>
      <c r="X15" s="111">
        <f t="shared" si="4"/>
        <v>0.43313727265166641</v>
      </c>
      <c r="Y15" s="135">
        <f>2.86*Table112345791014[[#This Row],[d (mm)]]</f>
        <v>5405.4</v>
      </c>
      <c r="Z15" s="135">
        <v>1890</v>
      </c>
      <c r="AA15" s="135">
        <v>2000</v>
      </c>
      <c r="AB15" s="134">
        <v>300</v>
      </c>
      <c r="AC15" s="7">
        <v>31.8</v>
      </c>
      <c r="AD15" s="111">
        <f>Table112345791014[[#This Row],[pho (%)]]*Table112345791014[[#This Row],[b (mm)]]*Table112345791014[[#This Row],[h (mm)]]/100</f>
        <v>4440</v>
      </c>
      <c r="AE15" s="135">
        <v>0.74</v>
      </c>
      <c r="AF15" s="111">
        <v>529</v>
      </c>
      <c r="AG15" s="111">
        <f>(1/3-0.21*(MIN(Table112345791014[[#This Row],[b (mm)]],AA15)/MAX(Table112345791014[[#This Row],[b (mm)]],AA15))*(MIN(Table112345791014[[#This Row],[b (mm)]],AA15)^4/(12*MAX(Table112345791014[[#This Row],[b (mm)]],AA15)^4)))*MAX(Table112345791014[[#This Row],[b (mm)]],AA15)*MIN(Table112345791014[[#This Row],[b (mm)]],AA15)^3</f>
        <v>17999928239.0625</v>
      </c>
      <c r="AH15" s="111">
        <f>Table112345791014[[#This Row],[b (mm)]]*AA15^3/12</f>
        <v>200000000000</v>
      </c>
      <c r="AI15" s="111">
        <f>Table112345791014[[#This Row],[a (mm)]]*2</f>
        <v>10810.8</v>
      </c>
      <c r="AK15"/>
      <c r="AL15"/>
      <c r="AM15"/>
      <c r="AN15"/>
      <c r="AO15"/>
      <c r="AP15"/>
      <c r="AQ15"/>
      <c r="AR15"/>
    </row>
    <row r="16" spans="1:44" x14ac:dyDescent="0.25">
      <c r="A16" s="323" t="s">
        <v>238</v>
      </c>
      <c r="B16" s="324">
        <v>15</v>
      </c>
      <c r="C16" s="323">
        <v>2</v>
      </c>
      <c r="D16" s="323">
        <v>2.81</v>
      </c>
      <c r="E16" s="323">
        <v>66</v>
      </c>
      <c r="F16" s="137">
        <f>Table112345791014[[#This Row],[d (mm)]]</f>
        <v>1921.7081850533807</v>
      </c>
      <c r="G16" s="111">
        <f t="shared" si="5"/>
        <v>356400</v>
      </c>
      <c r="H16" s="111">
        <f t="shared" si="6"/>
        <v>6.7662029120339413E-8</v>
      </c>
      <c r="I16" s="111">
        <f>G16/(Table112345791014[[#This Row],[b (mm)]]*Z16^2)</f>
        <v>3.21692962962963E-4</v>
      </c>
      <c r="J16" s="111">
        <f t="shared" si="7"/>
        <v>0.1620020964360587</v>
      </c>
      <c r="K16" s="111">
        <f t="shared" si="8"/>
        <v>1.1677328932145524E-7</v>
      </c>
      <c r="L16" s="111">
        <f>E16/(Table112345791014[[#This Row],[b (mm)]]*Z16)</f>
        <v>1.1448148148148148E-4</v>
      </c>
      <c r="M16" s="111">
        <f>Table112345791014[[#This Row],[M (KN.mm)]]/(Table112345791014[[#This Row],[b (mm)]]*Table112345791014[[#This Row],[d (mm)]])</f>
        <v>0.61819999999999997</v>
      </c>
      <c r="N16" s="111">
        <f>Table112345791014[[#This Row],[M (KN.mm)]]/(Table112345791014[[#This Row],[b (mm)]]*Table112345791014[[#This Row],[h (mm)]])</f>
        <v>0.59399999999999997</v>
      </c>
      <c r="O16" s="111">
        <f>Table112345791014[[#This Row],[M (KN.mm)]]/(Table112345791014[[#This Row],[b (mm)]]*Table112345791014[[#This Row],[h (mm)]]*Table112345791014[[#This Row],[L(mm)]])</f>
        <v>5.5000000000000002E-5</v>
      </c>
      <c r="P16" s="111">
        <f>Table112345791014[[#This Row],[M (KN.mm)]]/(Table112345791014[[#This Row],[b (mm)]]*Table112345791014[[#This Row],[d (mm)]]*Table112345791014[[#This Row],[L(mm)]])</f>
        <v>5.7240740740740739E-5</v>
      </c>
      <c r="Q16" s="111">
        <f>Table112345791014[[#This Row],[M (KN.mm)]]/(Table112345791014[[#This Row],[b (mm)]]*Table112345791014[[#This Row],[h (mm)]]*Table112345791014[[#This Row],[L(mm)]]*Table112345791014[[#This Row],[fc (Mpa)]])</f>
        <v>1.9434628975265018E-6</v>
      </c>
      <c r="R16" s="111">
        <f>Table112345791014[[#This Row],[M (KN.mm)]]/(Table112345791014[[#This Row],[b (mm)]]*Table112345791014[[#This Row],[h (mm)]]*Table112345791014[[#This Row],[L(mm)]]/2)</f>
        <v>1.1E-4</v>
      </c>
      <c r="S16" s="111">
        <f>Table112345791014[[#This Row],[M (KN.mm)]]/(Table112345791014[[#This Row],[a (mm)]]*Table112345791014[[#This Row],[b (mm)]]*Table112345791014[[#This Row],[h (mm)]]*Table112345791014[[#This Row],[L(mm)]]/2)</f>
        <v>2.0370370370370369E-8</v>
      </c>
      <c r="T16" s="111">
        <f>G16/($AL$5*AH16*0.001*Table112345791014[[#This Row],[pho (%)]])</f>
        <v>1.8795008088983173E-7</v>
      </c>
      <c r="U16" s="111">
        <f>Table112345791014[[#This Row],[M (KN.mm)]]/(Table112345791014[[#This Row],[b (mm)]]*Table112345791014[[#This Row],[d (mm)]]*Table112345791014[[#This Row],[pho (%)]])</f>
        <v>1.7172222222222224</v>
      </c>
      <c r="V16" s="111">
        <f>E16*224.8/(2*SQRT(Table112345791014[[#This Row],[fc (Mpa)]]*145.037)*Table112345791014[[#This Row],[b (mm)]]*Table112345791014[[#This Row],[d (mm)]]*(1/25.4)^2)</f>
        <v>0.12957951902145631</v>
      </c>
      <c r="W16" s="111">
        <f>Table112345791014[[#This Row],[M (KN.mm)]]/$G$21</f>
        <v>0.33</v>
      </c>
      <c r="X16" s="111">
        <f t="shared" si="4"/>
        <v>0.12957951902145631</v>
      </c>
      <c r="Y16" s="135">
        <v>5400</v>
      </c>
      <c r="Z16" s="135">
        <f>Table112345791014[[#This Row],[a (mm)]]/2.81</f>
        <v>1921.7081850533807</v>
      </c>
      <c r="AA16" s="135">
        <v>2000</v>
      </c>
      <c r="AB16" s="134">
        <v>300</v>
      </c>
      <c r="AC16" s="7">
        <v>28.3</v>
      </c>
      <c r="AD16" s="111">
        <f>Table112345791014[[#This Row],[pho (%)]]*Table112345791014[[#This Row],[b (mm)]]*Table112345791014[[#This Row],[h (mm)]]/100</f>
        <v>2160</v>
      </c>
      <c r="AE16" s="135">
        <v>0.36</v>
      </c>
      <c r="AF16" s="111">
        <v>530</v>
      </c>
      <c r="AG16" s="111">
        <f>(1/3-0.21*(MIN(Table112345791014[[#This Row],[b (mm)]],AA16)/MAX(Table112345791014[[#This Row],[b (mm)]],AA16))*(MIN(Table112345791014[[#This Row],[b (mm)]],AA16)^4/(12*MAX(Table112345791014[[#This Row],[b (mm)]],AA16)^4)))*MAX(Table112345791014[[#This Row],[b (mm)]],AA16)*MIN(Table112345791014[[#This Row],[b (mm)]],AA16)^3</f>
        <v>17999928239.0625</v>
      </c>
      <c r="AH16" s="111">
        <f>Table112345791014[[#This Row],[b (mm)]]*AA16^3/12</f>
        <v>200000000000</v>
      </c>
      <c r="AI16" s="111">
        <f>Table112345791014[[#This Row],[a (mm)]]*2</f>
        <v>10800</v>
      </c>
      <c r="AK16"/>
      <c r="AL16"/>
      <c r="AM16"/>
      <c r="AN16"/>
      <c r="AO16"/>
      <c r="AP16"/>
      <c r="AQ16"/>
      <c r="AR16"/>
    </row>
    <row r="17" spans="1:44" x14ac:dyDescent="0.25">
      <c r="A17" s="323" t="s">
        <v>238</v>
      </c>
      <c r="B17" s="324">
        <v>16</v>
      </c>
      <c r="C17" s="323">
        <v>3</v>
      </c>
      <c r="D17" s="323">
        <v>2.81</v>
      </c>
      <c r="E17" s="323">
        <v>110</v>
      </c>
      <c r="F17" s="137">
        <f>Table112345791014[[#This Row],[d (mm)]]</f>
        <v>1921.7081850533807</v>
      </c>
      <c r="G17" s="111">
        <f t="shared" si="5"/>
        <v>594000</v>
      </c>
      <c r="H17" s="111">
        <f t="shared" si="6"/>
        <v>1.1277004853389903E-7</v>
      </c>
      <c r="I17" s="111">
        <f>G17/(Table112345791014[[#This Row],[b (mm)]]*Z17^2)</f>
        <v>5.36154938271605E-4</v>
      </c>
      <c r="J17" s="111">
        <f t="shared" si="7"/>
        <v>0.26949501290367583</v>
      </c>
      <c r="K17" s="111">
        <f t="shared" si="8"/>
        <v>1.9462214886909206E-7</v>
      </c>
      <c r="L17" s="111">
        <f>E17/(Table112345791014[[#This Row],[b (mm)]]*Z17)</f>
        <v>1.9080246913580245E-4</v>
      </c>
      <c r="M17" s="111">
        <f>Table112345791014[[#This Row],[M (KN.mm)]]/(Table112345791014[[#This Row],[b (mm)]]*Table112345791014[[#This Row],[d (mm)]])</f>
        <v>1.0303333333333333</v>
      </c>
      <c r="N17" s="111">
        <f>Table112345791014[[#This Row],[M (KN.mm)]]/(Table112345791014[[#This Row],[b (mm)]]*Table112345791014[[#This Row],[h (mm)]])</f>
        <v>0.99</v>
      </c>
      <c r="O17" s="111">
        <f>Table112345791014[[#This Row],[M (KN.mm)]]/(Table112345791014[[#This Row],[b (mm)]]*Table112345791014[[#This Row],[h (mm)]]*Table112345791014[[#This Row],[L(mm)]])</f>
        <v>9.1666666666666668E-5</v>
      </c>
      <c r="P17" s="111">
        <f>Table112345791014[[#This Row],[M (KN.mm)]]/(Table112345791014[[#This Row],[b (mm)]]*Table112345791014[[#This Row],[d (mm)]]*Table112345791014[[#This Row],[L(mm)]])</f>
        <v>9.5401234567901226E-5</v>
      </c>
      <c r="Q17" s="111">
        <f>Table112345791014[[#This Row],[M (KN.mm)]]/(Table112345791014[[#This Row],[b (mm)]]*Table112345791014[[#This Row],[h (mm)]]*Table112345791014[[#This Row],[L(mm)]]*Table112345791014[[#This Row],[fc (Mpa)]])</f>
        <v>3.2391048292108363E-6</v>
      </c>
      <c r="R17" s="111">
        <f>Table112345791014[[#This Row],[M (KN.mm)]]/(Table112345791014[[#This Row],[b (mm)]]*Table112345791014[[#This Row],[h (mm)]]*Table112345791014[[#This Row],[L(mm)]]/2)</f>
        <v>1.8333333333333334E-4</v>
      </c>
      <c r="S17" s="111">
        <f>Table112345791014[[#This Row],[M (KN.mm)]]/(Table112345791014[[#This Row],[a (mm)]]*Table112345791014[[#This Row],[b (mm)]]*Table112345791014[[#This Row],[h (mm)]]*Table112345791014[[#This Row],[L(mm)]]/2)</f>
        <v>3.3950617283950614E-8</v>
      </c>
      <c r="T17" s="111">
        <f>G17/($AL$5*AH17*0.001*Table112345791014[[#This Row],[pho (%)]])</f>
        <v>3.1325013481638622E-7</v>
      </c>
      <c r="U17" s="111">
        <f>Table112345791014[[#This Row],[M (KN.mm)]]/(Table112345791014[[#This Row],[b (mm)]]*Table112345791014[[#This Row],[d (mm)]]*Table112345791014[[#This Row],[pho (%)]])</f>
        <v>2.8620370370370374</v>
      </c>
      <c r="V17" s="111">
        <f>E17*224.8/(2*SQRT(Table112345791014[[#This Row],[fc (Mpa)]]*145.037)*Table112345791014[[#This Row],[b (mm)]]*Table112345791014[[#This Row],[d (mm)]]*(1/25.4)^2)</f>
        <v>0.21596586503576051</v>
      </c>
      <c r="W17" s="111">
        <f>Table112345791014[[#This Row],[M (KN.mm)]]/$G$21</f>
        <v>0.55000000000000004</v>
      </c>
      <c r="X17" s="111">
        <f t="shared" si="4"/>
        <v>0.21596586503576051</v>
      </c>
      <c r="Y17" s="135">
        <v>5400</v>
      </c>
      <c r="Z17" s="135">
        <f>Table112345791014[[#This Row],[a (mm)]]/2.81</f>
        <v>1921.7081850533807</v>
      </c>
      <c r="AA17" s="135">
        <v>2000</v>
      </c>
      <c r="AB17" s="134">
        <v>300</v>
      </c>
      <c r="AC17" s="7">
        <v>28.3</v>
      </c>
      <c r="AD17" s="111">
        <f>Table112345791014[[#This Row],[pho (%)]]*Table112345791014[[#This Row],[b (mm)]]*Table112345791014[[#This Row],[h (mm)]]/100</f>
        <v>2160</v>
      </c>
      <c r="AE17" s="135">
        <v>0.36</v>
      </c>
      <c r="AF17" s="111">
        <v>531</v>
      </c>
      <c r="AG17" s="111">
        <f>(1/3-0.21*(MIN(Table112345791014[[#This Row],[b (mm)]],AA17)/MAX(Table112345791014[[#This Row],[b (mm)]],AA17))*(MIN(Table112345791014[[#This Row],[b (mm)]],AA17)^4/(12*MAX(Table112345791014[[#This Row],[b (mm)]],AA17)^4)))*MAX(Table112345791014[[#This Row],[b (mm)]],AA17)*MIN(Table112345791014[[#This Row],[b (mm)]],AA17)^3</f>
        <v>17999928239.0625</v>
      </c>
      <c r="AH17" s="111">
        <f>Table112345791014[[#This Row],[b (mm)]]*AA17^3/12</f>
        <v>200000000000</v>
      </c>
      <c r="AI17" s="111">
        <f>Table112345791014[[#This Row],[a (mm)]]*2</f>
        <v>10800</v>
      </c>
      <c r="AK17"/>
      <c r="AL17"/>
      <c r="AM17"/>
      <c r="AN17"/>
      <c r="AO17"/>
      <c r="AP17"/>
      <c r="AQ17"/>
      <c r="AR17"/>
    </row>
    <row r="18" spans="1:44" s="129" customFormat="1" x14ac:dyDescent="0.25">
      <c r="A18" s="323" t="s">
        <v>238</v>
      </c>
      <c r="B18" s="324">
        <v>17</v>
      </c>
      <c r="C18" s="323">
        <v>4</v>
      </c>
      <c r="D18" s="323">
        <v>2.81</v>
      </c>
      <c r="E18" s="323">
        <v>140</v>
      </c>
      <c r="F18" s="137">
        <f>Table112345791014[[#This Row],[d (mm)]]</f>
        <v>1921.7081850533807</v>
      </c>
      <c r="G18" s="111">
        <f t="shared" si="5"/>
        <v>756000</v>
      </c>
      <c r="H18" s="111">
        <f t="shared" si="6"/>
        <v>1.4352551631587148E-7</v>
      </c>
      <c r="I18" s="111">
        <f>G18/(Table112345791014[[#This Row],[b (mm)]]*Z18^2)</f>
        <v>6.8237901234567905E-4</v>
      </c>
      <c r="J18" s="111">
        <f t="shared" si="7"/>
        <v>0.34234892787524368</v>
      </c>
      <c r="K18" s="111">
        <f t="shared" si="8"/>
        <v>2.4770091674248083E-7</v>
      </c>
      <c r="L18" s="111">
        <f>E18/(Table112345791014[[#This Row],[b (mm)]]*Z18)</f>
        <v>2.4283950617283949E-4</v>
      </c>
      <c r="M18" s="111">
        <f>Table112345791014[[#This Row],[M (KN.mm)]]/(Table112345791014[[#This Row],[b (mm)]]*Table112345791014[[#This Row],[d (mm)]])</f>
        <v>1.3113333333333332</v>
      </c>
      <c r="N18" s="111">
        <f>Table112345791014[[#This Row],[M (KN.mm)]]/(Table112345791014[[#This Row],[b (mm)]]*Table112345791014[[#This Row],[h (mm)]])</f>
        <v>1.26</v>
      </c>
      <c r="O18" s="111">
        <f>Table112345791014[[#This Row],[M (KN.mm)]]/(Table112345791014[[#This Row],[b (mm)]]*Table112345791014[[#This Row],[h (mm)]]*Table112345791014[[#This Row],[L(mm)]])</f>
        <v>1.1666666666666667E-4</v>
      </c>
      <c r="P18" s="111">
        <f>Table112345791014[[#This Row],[M (KN.mm)]]/(Table112345791014[[#This Row],[b (mm)]]*Table112345791014[[#This Row],[d (mm)]]*Table112345791014[[#This Row],[L(mm)]])</f>
        <v>1.2141975308641975E-4</v>
      </c>
      <c r="Q18" s="111">
        <f>Table112345791014[[#This Row],[M (KN.mm)]]/(Table112345791014[[#This Row],[b (mm)]]*Table112345791014[[#This Row],[h (mm)]]*Table112345791014[[#This Row],[L(mm)]]*Table112345791014[[#This Row],[fc (Mpa)]])</f>
        <v>4.1224970553592461E-6</v>
      </c>
      <c r="R18" s="111">
        <f>Table112345791014[[#This Row],[M (KN.mm)]]/(Table112345791014[[#This Row],[b (mm)]]*Table112345791014[[#This Row],[h (mm)]]*Table112345791014[[#This Row],[L(mm)]]/2)</f>
        <v>2.3333333333333333E-4</v>
      </c>
      <c r="S18" s="111">
        <f>Table112345791014[[#This Row],[M (KN.mm)]]/(Table112345791014[[#This Row],[a (mm)]]*Table112345791014[[#This Row],[b (mm)]]*Table112345791014[[#This Row],[h (mm)]]*Table112345791014[[#This Row],[L(mm)]]/2)</f>
        <v>4.3209876543209874E-8</v>
      </c>
      <c r="T18" s="111">
        <f>G18/($AL$5*AH18*0.001*Table112345791014[[#This Row],[pho (%)]])</f>
        <v>3.9868198976630974E-7</v>
      </c>
      <c r="U18" s="111">
        <f>Table112345791014[[#This Row],[M (KN.mm)]]/(Table112345791014[[#This Row],[b (mm)]]*Table112345791014[[#This Row],[d (mm)]]*Table112345791014[[#This Row],[pho (%)]])</f>
        <v>3.6425925925925928</v>
      </c>
      <c r="V18" s="111">
        <f>E18*224.8/(2*SQRT(Table112345791014[[#This Row],[fc (Mpa)]]*145.037)*Table112345791014[[#This Row],[b (mm)]]*Table112345791014[[#This Row],[d (mm)]]*(1/25.4)^2)</f>
        <v>0.27486564640914973</v>
      </c>
      <c r="W18" s="111">
        <f>Table112345791014[[#This Row],[M (KN.mm)]]/$G$21</f>
        <v>0.7</v>
      </c>
      <c r="X18" s="111">
        <f t="shared" si="4"/>
        <v>0.27486564640914973</v>
      </c>
      <c r="Y18" s="135">
        <v>5400</v>
      </c>
      <c r="Z18" s="135">
        <f>Table112345791014[[#This Row],[a (mm)]]/2.81</f>
        <v>1921.7081850533807</v>
      </c>
      <c r="AA18" s="135">
        <v>2000</v>
      </c>
      <c r="AB18" s="134">
        <v>300</v>
      </c>
      <c r="AC18" s="7">
        <v>28.3</v>
      </c>
      <c r="AD18" s="111">
        <f>Table112345791014[[#This Row],[pho (%)]]*Table112345791014[[#This Row],[b (mm)]]*Table112345791014[[#This Row],[h (mm)]]/100</f>
        <v>2160</v>
      </c>
      <c r="AE18" s="135">
        <v>0.36</v>
      </c>
      <c r="AF18" s="111">
        <v>532</v>
      </c>
      <c r="AG18" s="111">
        <f>(1/3-0.21*(MIN(Table112345791014[[#This Row],[b (mm)]],AA18)/MAX(Table112345791014[[#This Row],[b (mm)]],AA18))*(MIN(Table112345791014[[#This Row],[b (mm)]],AA18)^4/(12*MAX(Table112345791014[[#This Row],[b (mm)]],AA18)^4)))*MAX(Table112345791014[[#This Row],[b (mm)]],AA18)*MIN(Table112345791014[[#This Row],[b (mm)]],AA18)^3</f>
        <v>17999928239.0625</v>
      </c>
      <c r="AH18" s="111">
        <f>Table112345791014[[#This Row],[b (mm)]]*AA18^3/12</f>
        <v>200000000000</v>
      </c>
      <c r="AI18" s="111">
        <f>Table112345791014[[#This Row],[a (mm)]]*2</f>
        <v>10800</v>
      </c>
      <c r="AJ18"/>
      <c r="AK18"/>
      <c r="AL18"/>
      <c r="AM18"/>
      <c r="AN18"/>
      <c r="AO18"/>
      <c r="AP18"/>
      <c r="AQ18"/>
      <c r="AR18"/>
    </row>
    <row r="19" spans="1:44" s="129" customFormat="1" x14ac:dyDescent="0.25">
      <c r="A19" s="323" t="s">
        <v>238</v>
      </c>
      <c r="B19" s="324">
        <v>18</v>
      </c>
      <c r="C19" s="323">
        <v>4</v>
      </c>
      <c r="D19" s="323">
        <v>2.81</v>
      </c>
      <c r="E19" s="323">
        <v>163</v>
      </c>
      <c r="F19" s="137">
        <f>Table112345791014[[#This Row],[d (mm)]]</f>
        <v>1921.7081850533807</v>
      </c>
      <c r="G19" s="111">
        <f t="shared" si="5"/>
        <v>880200</v>
      </c>
      <c r="H19" s="111">
        <f t="shared" si="6"/>
        <v>1.6710470828205036E-7</v>
      </c>
      <c r="I19" s="111">
        <f>G19/(Table112345791014[[#This Row],[b (mm)]]*Z19^2)</f>
        <v>7.9448413580246924E-4</v>
      </c>
      <c r="J19" s="111">
        <f t="shared" si="7"/>
        <v>0.39784413869779728</v>
      </c>
      <c r="K19" s="111">
        <f t="shared" si="8"/>
        <v>2.8839463877874551E-7</v>
      </c>
      <c r="L19" s="111">
        <f>E19/(Table112345791014[[#This Row],[b (mm)]]*Z19)</f>
        <v>2.8273456790123454E-4</v>
      </c>
      <c r="M19" s="111">
        <f>Table112345791014[[#This Row],[M (KN.mm)]]/(Table112345791014[[#This Row],[b (mm)]]*Table112345791014[[#This Row],[d (mm)]])</f>
        <v>1.5267666666666666</v>
      </c>
      <c r="N19" s="111">
        <f>Table112345791014[[#This Row],[M (KN.mm)]]/(Table112345791014[[#This Row],[b (mm)]]*Table112345791014[[#This Row],[h (mm)]])</f>
        <v>1.4670000000000001</v>
      </c>
      <c r="O19" s="111">
        <f>Table112345791014[[#This Row],[M (KN.mm)]]/(Table112345791014[[#This Row],[b (mm)]]*Table112345791014[[#This Row],[h (mm)]]*Table112345791014[[#This Row],[L(mm)]])</f>
        <v>1.3583333333333335E-4</v>
      </c>
      <c r="P19" s="111">
        <f>Table112345791014[[#This Row],[M (KN.mm)]]/(Table112345791014[[#This Row],[b (mm)]]*Table112345791014[[#This Row],[d (mm)]]*Table112345791014[[#This Row],[L(mm)]])</f>
        <v>1.4136728395061727E-4</v>
      </c>
      <c r="Q19" s="111">
        <f>Table112345791014[[#This Row],[M (KN.mm)]]/(Table112345791014[[#This Row],[b (mm)]]*Table112345791014[[#This Row],[h (mm)]]*Table112345791014[[#This Row],[L(mm)]]*Table112345791014[[#This Row],[fc (Mpa)]])</f>
        <v>4.7997644287396939E-6</v>
      </c>
      <c r="R19" s="111">
        <f>Table112345791014[[#This Row],[M (KN.mm)]]/(Table112345791014[[#This Row],[b (mm)]]*Table112345791014[[#This Row],[h (mm)]]*Table112345791014[[#This Row],[L(mm)]]/2)</f>
        <v>2.7166666666666669E-4</v>
      </c>
      <c r="S19" s="111">
        <f>Table112345791014[[#This Row],[M (KN.mm)]]/(Table112345791014[[#This Row],[a (mm)]]*Table112345791014[[#This Row],[b (mm)]]*Table112345791014[[#This Row],[h (mm)]]*Table112345791014[[#This Row],[L(mm)]]/2)</f>
        <v>5.0308641975308641E-8</v>
      </c>
      <c r="T19" s="111">
        <f>G19/($AL$5*AH19*0.001*Table112345791014[[#This Row],[pho (%)]])</f>
        <v>4.6417974522791771E-7</v>
      </c>
      <c r="U19" s="111">
        <f>Table112345791014[[#This Row],[M (KN.mm)]]/(Table112345791014[[#This Row],[b (mm)]]*Table112345791014[[#This Row],[d (mm)]]*Table112345791014[[#This Row],[pho (%)]])</f>
        <v>4.2410185185185192</v>
      </c>
      <c r="V19" s="111">
        <f>E19*224.8/(2*SQRT(Table112345791014[[#This Row],[fc (Mpa)]]*145.037)*Table112345791014[[#This Row],[b (mm)]]*Table112345791014[[#This Row],[d (mm)]]*(1/25.4)^2)</f>
        <v>0.32002214546208152</v>
      </c>
      <c r="W19" s="111">
        <f>Table112345791014[[#This Row],[M (KN.mm)]]/$G$21</f>
        <v>0.81499999999999995</v>
      </c>
      <c r="X19" s="111">
        <f t="shared" si="4"/>
        <v>0.32002214546208152</v>
      </c>
      <c r="Y19" s="135">
        <v>5400</v>
      </c>
      <c r="Z19" s="135">
        <f>Table112345791014[[#This Row],[a (mm)]]/2.81</f>
        <v>1921.7081850533807</v>
      </c>
      <c r="AA19" s="135">
        <v>2000</v>
      </c>
      <c r="AB19" s="134">
        <v>300</v>
      </c>
      <c r="AC19" s="7">
        <v>28.3</v>
      </c>
      <c r="AD19" s="111">
        <f>Table112345791014[[#This Row],[pho (%)]]*Table112345791014[[#This Row],[b (mm)]]*Table112345791014[[#This Row],[h (mm)]]/100</f>
        <v>2160</v>
      </c>
      <c r="AE19" s="135">
        <v>0.36</v>
      </c>
      <c r="AF19" s="111">
        <v>533</v>
      </c>
      <c r="AG19" s="111">
        <f>(1/3-0.21*(MIN(Table112345791014[[#This Row],[b (mm)]],AA19)/MAX(Table112345791014[[#This Row],[b (mm)]],AA19))*(MIN(Table112345791014[[#This Row],[b (mm)]],AA19)^4/(12*MAX(Table112345791014[[#This Row],[b (mm)]],AA19)^4)))*MAX(Table112345791014[[#This Row],[b (mm)]],AA19)*MIN(Table112345791014[[#This Row],[b (mm)]],AA19)^3</f>
        <v>17999928239.0625</v>
      </c>
      <c r="AH19" s="111">
        <f>Table112345791014[[#This Row],[b (mm)]]*AA19^3/12</f>
        <v>200000000000</v>
      </c>
      <c r="AI19" s="111">
        <f>Table112345791014[[#This Row],[a (mm)]]*2</f>
        <v>10800</v>
      </c>
      <c r="AJ19"/>
      <c r="AK19"/>
      <c r="AL19"/>
      <c r="AM19"/>
      <c r="AN19"/>
      <c r="AO19"/>
      <c r="AP19"/>
      <c r="AQ19"/>
      <c r="AR19"/>
    </row>
    <row r="20" spans="1:44" s="129" customFormat="1" x14ac:dyDescent="0.25">
      <c r="A20" s="323" t="s">
        <v>238</v>
      </c>
      <c r="B20" s="324">
        <v>19</v>
      </c>
      <c r="C20" s="323">
        <v>5</v>
      </c>
      <c r="D20" s="323">
        <v>2.81</v>
      </c>
      <c r="E20" s="323">
        <v>188</v>
      </c>
      <c r="F20" s="137">
        <f>Table112345791014[[#This Row],[d (mm)]]</f>
        <v>1921.7081850533807</v>
      </c>
      <c r="G20" s="111">
        <f t="shared" si="5"/>
        <v>1015200</v>
      </c>
      <c r="H20" s="111">
        <f t="shared" si="6"/>
        <v>1.9273426476702742E-7</v>
      </c>
      <c r="I20" s="111">
        <f>G20/(Table112345791014[[#This Row],[b (mm)]]*Z20^2)</f>
        <v>9.1633753086419758E-4</v>
      </c>
      <c r="J20" s="111">
        <f t="shared" si="7"/>
        <v>0.45800388403384656</v>
      </c>
      <c r="K20" s="111">
        <f t="shared" si="8"/>
        <v>3.326269453399028E-7</v>
      </c>
      <c r="L20" s="111">
        <f>E20/(Table112345791014[[#This Row],[b (mm)]]*Z20)</f>
        <v>3.2609876543209876E-4</v>
      </c>
      <c r="M20" s="111">
        <f>Table112345791014[[#This Row],[M (KN.mm)]]/(Table112345791014[[#This Row],[b (mm)]]*Table112345791014[[#This Row],[d (mm)]])</f>
        <v>1.7609333333333332</v>
      </c>
      <c r="N20" s="111">
        <f>Table112345791014[[#This Row],[M (KN.mm)]]/(Table112345791014[[#This Row],[b (mm)]]*Table112345791014[[#This Row],[h (mm)]])</f>
        <v>1.6919999999999999</v>
      </c>
      <c r="O20" s="111">
        <f>Table112345791014[[#This Row],[M (KN.mm)]]/(Table112345791014[[#This Row],[b (mm)]]*Table112345791014[[#This Row],[h (mm)]]*Table112345791014[[#This Row],[L(mm)]])</f>
        <v>1.5666666666666666E-4</v>
      </c>
      <c r="P20" s="111">
        <f>Table112345791014[[#This Row],[M (KN.mm)]]/(Table112345791014[[#This Row],[b (mm)]]*Table112345791014[[#This Row],[d (mm)]]*Table112345791014[[#This Row],[L(mm)]])</f>
        <v>1.6304938271604938E-4</v>
      </c>
      <c r="Q20" s="111">
        <f>Table112345791014[[#This Row],[M (KN.mm)]]/(Table112345791014[[#This Row],[b (mm)]]*Table112345791014[[#This Row],[h (mm)]]*Table112345791014[[#This Row],[L(mm)]]*Table112345791014[[#This Row],[fc (Mpa)]])</f>
        <v>5.5359246171967019E-6</v>
      </c>
      <c r="R20" s="111">
        <f>Table112345791014[[#This Row],[M (KN.mm)]]/(Table112345791014[[#This Row],[b (mm)]]*Table112345791014[[#This Row],[h (mm)]]*Table112345791014[[#This Row],[L(mm)]]/2)</f>
        <v>3.1333333333333332E-4</v>
      </c>
      <c r="S20" s="111">
        <f>Table112345791014[[#This Row],[M (KN.mm)]]/(Table112345791014[[#This Row],[a (mm)]]*Table112345791014[[#This Row],[b (mm)]]*Table112345791014[[#This Row],[h (mm)]]*Table112345791014[[#This Row],[L(mm)]]/2)</f>
        <v>5.8024691358024689E-8</v>
      </c>
      <c r="T20" s="111">
        <f>G20/($AL$5*AH20*0.001*Table112345791014[[#This Row],[pho (%)]])</f>
        <v>5.3537295768618736E-7</v>
      </c>
      <c r="U20" s="111">
        <f>Table112345791014[[#This Row],[M (KN.mm)]]/(Table112345791014[[#This Row],[b (mm)]]*Table112345791014[[#This Row],[d (mm)]]*Table112345791014[[#This Row],[pho (%)]])</f>
        <v>4.891481481481482</v>
      </c>
      <c r="V20" s="111">
        <f>E20*224.8/(2*SQRT(Table112345791014[[#This Row],[fc (Mpa)]]*145.037)*Table112345791014[[#This Row],[b (mm)]]*Table112345791014[[#This Row],[d (mm)]]*(1/25.4)^2)</f>
        <v>0.36910529660657254</v>
      </c>
      <c r="W20" s="111">
        <f>Table112345791014[[#This Row],[M (KN.mm)]]/$G$21</f>
        <v>0.94</v>
      </c>
      <c r="X20" s="111">
        <f t="shared" si="4"/>
        <v>0.36910529660657254</v>
      </c>
      <c r="Y20">
        <v>5400</v>
      </c>
      <c r="Z20">
        <f>Table112345791014[[#This Row],[a (mm)]]/2.81</f>
        <v>1921.7081850533807</v>
      </c>
      <c r="AA20">
        <v>2000</v>
      </c>
      <c r="AB20">
        <v>300</v>
      </c>
      <c r="AC20" s="7">
        <v>28.3</v>
      </c>
      <c r="AD20" s="111">
        <f>Table112345791014[[#This Row],[pho (%)]]*Table112345791014[[#This Row],[b (mm)]]*Table112345791014[[#This Row],[h (mm)]]/100</f>
        <v>2160</v>
      </c>
      <c r="AE20" s="135">
        <v>0.36</v>
      </c>
      <c r="AF20" s="111">
        <v>534</v>
      </c>
      <c r="AG20" s="111">
        <f>(1/3-0.21*(MIN(Table112345791014[[#This Row],[b (mm)]],AA20)/MAX(Table112345791014[[#This Row],[b (mm)]],AA20))*(MIN(Table112345791014[[#This Row],[b (mm)]],AA20)^4/(12*MAX(Table112345791014[[#This Row],[b (mm)]],AA20)^4)))*MAX(Table112345791014[[#This Row],[b (mm)]],AA20)*MIN(Table112345791014[[#This Row],[b (mm)]],AA20)^3</f>
        <v>17999928239.0625</v>
      </c>
      <c r="AH20" s="111">
        <f>Table112345791014[[#This Row],[b (mm)]]*AA20^3/12</f>
        <v>200000000000</v>
      </c>
      <c r="AI20" s="111">
        <f>Table112345791014[[#This Row],[a (mm)]]*2</f>
        <v>10800</v>
      </c>
      <c r="AJ20"/>
      <c r="AK20"/>
      <c r="AL20"/>
      <c r="AM20"/>
      <c r="AN20"/>
      <c r="AO20"/>
      <c r="AP20"/>
      <c r="AQ20"/>
      <c r="AR20"/>
    </row>
    <row r="21" spans="1:44" s="129" customFormat="1" x14ac:dyDescent="0.25">
      <c r="A21" s="323" t="s">
        <v>238</v>
      </c>
      <c r="B21" s="324">
        <v>20</v>
      </c>
      <c r="C21" s="323">
        <v>6</v>
      </c>
      <c r="D21" s="323">
        <v>2.81</v>
      </c>
      <c r="E21" s="323">
        <v>200</v>
      </c>
      <c r="F21" s="137">
        <f>Table112345791014[[#This Row],[d (mm)]]</f>
        <v>1921.7081850533807</v>
      </c>
      <c r="G21" s="111">
        <f t="shared" si="5"/>
        <v>1080000</v>
      </c>
      <c r="H21" s="111">
        <f t="shared" si="6"/>
        <v>2.0503645187981641E-7</v>
      </c>
      <c r="I21" s="111">
        <f>G21/(Table112345791014[[#This Row],[b (mm)]]*Z21^2)</f>
        <v>9.7482716049382726E-4</v>
      </c>
      <c r="J21" s="111">
        <f t="shared" si="7"/>
        <v>0.48632744894427132</v>
      </c>
      <c r="K21" s="111">
        <f t="shared" si="8"/>
        <v>3.5385845248925832E-7</v>
      </c>
      <c r="L21" s="111">
        <f>E21/(Table112345791014[[#This Row],[b (mm)]]*Z21)</f>
        <v>3.4691358024691358E-4</v>
      </c>
      <c r="M21" s="111">
        <f>Table112345791014[[#This Row],[M (KN.mm)]]/(Table112345791014[[#This Row],[b (mm)]]*Table112345791014[[#This Row],[d (mm)]])</f>
        <v>1.8733333333333333</v>
      </c>
      <c r="N21" s="111">
        <f>Table112345791014[[#This Row],[M (KN.mm)]]/(Table112345791014[[#This Row],[b (mm)]]*Table112345791014[[#This Row],[h (mm)]])</f>
        <v>1.8</v>
      </c>
      <c r="O21" s="111">
        <f>Table112345791014[[#This Row],[M (KN.mm)]]/(Table112345791014[[#This Row],[b (mm)]]*Table112345791014[[#This Row],[h (mm)]]*Table112345791014[[#This Row],[L(mm)]])</f>
        <v>1.6666666666666666E-4</v>
      </c>
      <c r="P21" s="111">
        <f>Table112345791014[[#This Row],[M (KN.mm)]]/(Table112345791014[[#This Row],[b (mm)]]*Table112345791014[[#This Row],[d (mm)]]*Table112345791014[[#This Row],[L(mm)]])</f>
        <v>1.7345679012345679E-4</v>
      </c>
      <c r="Q21" s="111">
        <f>Table112345791014[[#This Row],[M (KN.mm)]]/(Table112345791014[[#This Row],[b (mm)]]*Table112345791014[[#This Row],[h (mm)]]*Table112345791014[[#This Row],[L(mm)]]*Table112345791014[[#This Row],[fc (Mpa)]])</f>
        <v>5.8892815076560656E-6</v>
      </c>
      <c r="R21" s="111">
        <f>Table112345791014[[#This Row],[M (KN.mm)]]/(Table112345791014[[#This Row],[b (mm)]]*Table112345791014[[#This Row],[h (mm)]]*Table112345791014[[#This Row],[L(mm)]]/2)</f>
        <v>3.3333333333333332E-4</v>
      </c>
      <c r="S21" s="111">
        <f>Table112345791014[[#This Row],[M (KN.mm)]]/(Table112345791014[[#This Row],[a (mm)]]*Table112345791014[[#This Row],[b (mm)]]*Table112345791014[[#This Row],[h (mm)]]*Table112345791014[[#This Row],[L(mm)]]/2)</f>
        <v>6.1728395061728398E-8</v>
      </c>
      <c r="T21" s="111">
        <f>G21/($AL$5*AH21*0.001*Table112345791014[[#This Row],[pho (%)]])</f>
        <v>5.6954569966615677E-7</v>
      </c>
      <c r="U21" s="111">
        <f>Table112345791014[[#This Row],[M (KN.mm)]]/(Table112345791014[[#This Row],[b (mm)]]*Table112345791014[[#This Row],[d (mm)]]*Table112345791014[[#This Row],[pho (%)]])</f>
        <v>5.2037037037037042</v>
      </c>
      <c r="V21" s="111">
        <f>E21*224.8/(2*SQRT(Table112345791014[[#This Row],[fc (Mpa)]]*145.037)*Table112345791014[[#This Row],[b (mm)]]*Table112345791014[[#This Row],[d (mm)]]*(1/25.4)^2)</f>
        <v>0.39266520915592823</v>
      </c>
      <c r="W21" s="111">
        <f>Table112345791014[[#This Row],[M (KN.mm)]]/$G$21</f>
        <v>1</v>
      </c>
      <c r="X21" s="111">
        <f t="shared" si="4"/>
        <v>0.39266520915592823</v>
      </c>
      <c r="Y21">
        <v>5400</v>
      </c>
      <c r="Z21">
        <f>Table112345791014[[#This Row],[a (mm)]]/2.81</f>
        <v>1921.7081850533807</v>
      </c>
      <c r="AA21">
        <v>2000</v>
      </c>
      <c r="AB21">
        <v>300</v>
      </c>
      <c r="AC21" s="7">
        <v>28.3</v>
      </c>
      <c r="AD21" s="111">
        <f>Table112345791014[[#This Row],[pho (%)]]*Table112345791014[[#This Row],[b (mm)]]*Table112345791014[[#This Row],[h (mm)]]/100</f>
        <v>2160</v>
      </c>
      <c r="AE21" s="135">
        <v>0.36</v>
      </c>
      <c r="AF21" s="111">
        <v>535</v>
      </c>
      <c r="AG21" s="111">
        <f>(1/3-0.21*(MIN(Table112345791014[[#This Row],[b (mm)]],AA21)/MAX(Table112345791014[[#This Row],[b (mm)]],AA21))*(MIN(Table112345791014[[#This Row],[b (mm)]],AA21)^4/(12*MAX(Table112345791014[[#This Row],[b (mm)]],AA21)^4)))*MAX(Table112345791014[[#This Row],[b (mm)]],AA21)*MIN(Table112345791014[[#This Row],[b (mm)]],AA21)^3</f>
        <v>17999928239.0625</v>
      </c>
      <c r="AH21" s="111">
        <f>Table112345791014[[#This Row],[b (mm)]]*AA21^3/12</f>
        <v>200000000000</v>
      </c>
      <c r="AI21" s="111">
        <f>Table112345791014[[#This Row],[a (mm)]]*2</f>
        <v>10800</v>
      </c>
      <c r="AJ21"/>
      <c r="AK21"/>
      <c r="AL21"/>
      <c r="AM21"/>
      <c r="AN21"/>
      <c r="AO21"/>
      <c r="AP21"/>
      <c r="AQ21"/>
      <c r="AR21"/>
    </row>
    <row r="22" spans="1:44" s="129" customFormat="1" ht="16.5" customHeight="1" x14ac:dyDescent="0.25">
      <c r="A22" s="327" t="s">
        <v>239</v>
      </c>
      <c r="B22" s="328">
        <v>21</v>
      </c>
      <c r="C22" s="327">
        <v>1</v>
      </c>
      <c r="D22" s="327">
        <v>2.92</v>
      </c>
      <c r="E22" s="327">
        <v>150</v>
      </c>
      <c r="F22" s="137">
        <f>Table112345791014[[#This Row],[d (mm)]]</f>
        <v>1921.7081850533807</v>
      </c>
      <c r="G22" s="111">
        <f t="shared" ref="G22:G27" si="9">E22*Y22</f>
        <v>810000</v>
      </c>
      <c r="H22" s="111">
        <f t="shared" ref="H22:H27" si="10">G22/($AL$5*AH22*0.001)</f>
        <v>1.537773389098623E-7</v>
      </c>
      <c r="I22" s="111">
        <f>G22/(Table112345791014[[#This Row],[b (mm)]]*Z22^2)</f>
        <v>7.3112037037037037E-4</v>
      </c>
      <c r="J22" s="111">
        <f t="shared" ref="J22:J27" si="11">G22/(AD22*AF22*Z22*0.001)</f>
        <v>8.6387112641416616E-2</v>
      </c>
      <c r="K22" s="111">
        <f t="shared" ref="K22:K27" si="12">E22/($AL$4*AG22*0.001)</f>
        <v>2.6539383936694375E-7</v>
      </c>
      <c r="L22" s="111">
        <f>E22/(Table112345791014[[#This Row],[b (mm)]]*Z22)</f>
        <v>2.6018518518518518E-4</v>
      </c>
      <c r="M22" s="111">
        <f>Table112345791014[[#This Row],[M (KN.mm)]]/(Table112345791014[[#This Row],[b (mm)]]*Table112345791014[[#This Row],[d (mm)]])</f>
        <v>1.405</v>
      </c>
      <c r="N22" s="111">
        <f>Table112345791014[[#This Row],[M (KN.mm)]]/(Table112345791014[[#This Row],[b (mm)]]*Table112345791014[[#This Row],[h (mm)]])</f>
        <v>1.35</v>
      </c>
      <c r="O22" s="111">
        <f>Table112345791014[[#This Row],[M (KN.mm)]]/(Table112345791014[[#This Row],[b (mm)]]*Table112345791014[[#This Row],[h (mm)]]*Table112345791014[[#This Row],[L(mm)]])</f>
        <v>1.25E-4</v>
      </c>
      <c r="P22" s="111">
        <f>Table112345791014[[#This Row],[M (KN.mm)]]/(Table112345791014[[#This Row],[b (mm)]]*Table112345791014[[#This Row],[d (mm)]]*Table112345791014[[#This Row],[L(mm)]])</f>
        <v>1.3009259259259259E-4</v>
      </c>
      <c r="Q22" s="111">
        <f>Table112345791014[[#This Row],[M (KN.mm)]]/(Table112345791014[[#This Row],[b (mm)]]*Table112345791014[[#This Row],[h (mm)]]*Table112345791014[[#This Row],[L(mm)]]*Table112345791014[[#This Row],[fc (Mpa)]])</f>
        <v>4.7709923664122139E-6</v>
      </c>
      <c r="R22" s="111">
        <f>Table112345791014[[#This Row],[M (KN.mm)]]/(Table112345791014[[#This Row],[b (mm)]]*Table112345791014[[#This Row],[h (mm)]]*Table112345791014[[#This Row],[L(mm)]]/2)</f>
        <v>2.5000000000000001E-4</v>
      </c>
      <c r="S22" s="111">
        <f>Table112345791014[[#This Row],[M (KN.mm)]]/(Table112345791014[[#This Row],[a (mm)]]*Table112345791014[[#This Row],[b (mm)]]*Table112345791014[[#This Row],[h (mm)]]*Table112345791014[[#This Row],[L(mm)]]/2)</f>
        <v>4.6296296296296295E-8</v>
      </c>
      <c r="T22" s="111">
        <f>G22/($AL$5*AH22*0.001*Table112345791014[[#This Row],[pho (%)]])</f>
        <v>1.011693019143831E-7</v>
      </c>
      <c r="U22" s="111">
        <f>Table112345791014[[#This Row],[M (KN.mm)]]/(Table112345791014[[#This Row],[b (mm)]]*Table112345791014[[#This Row],[d (mm)]]*Table112345791014[[#This Row],[pho (%)]])</f>
        <v>0.92434210526315785</v>
      </c>
      <c r="V22" s="111">
        <f>E22*224.8/(2*SQRT(Table112345791014[[#This Row],[fc (Mpa)]]*145.037)*Table112345791014[[#This Row],[b (mm)]]*Table112345791014[[#This Row],[d (mm)]]*(1/25.4)^2)</f>
        <v>0.30607387310702622</v>
      </c>
      <c r="W22" s="111">
        <f>Table112345791014[[#This Row],[M (KN.mm)]]/$G$27</f>
        <v>0.39473684210526316</v>
      </c>
      <c r="X22" s="111">
        <f t="shared" si="4"/>
        <v>0.30607387310702622</v>
      </c>
      <c r="Y22">
        <v>5400</v>
      </c>
      <c r="Z22">
        <f>Table112345791014[[#This Row],[a (mm)]]/2.81</f>
        <v>1921.7081850533807</v>
      </c>
      <c r="AA22">
        <v>2000</v>
      </c>
      <c r="AB22">
        <v>300</v>
      </c>
      <c r="AC22">
        <v>26.2</v>
      </c>
      <c r="AD22" s="111">
        <f>Table112345791014[[#This Row],[pho (%)]]*Table112345791014[[#This Row],[b (mm)]]*Table112345791014[[#This Row],[h (mm)]]/100</f>
        <v>9120</v>
      </c>
      <c r="AE22">
        <v>1.52</v>
      </c>
      <c r="AF22" s="111">
        <v>535</v>
      </c>
      <c r="AG22" s="111">
        <f>(1/3-0.21*(MIN(Table112345791014[[#This Row],[b (mm)]],AA22)/MAX(Table112345791014[[#This Row],[b (mm)]],AA22))*(MIN(Table112345791014[[#This Row],[b (mm)]],AA22)^4/(12*MAX(Table112345791014[[#This Row],[b (mm)]],AA22)^4)))*MAX(Table112345791014[[#This Row],[b (mm)]],AA22)*MIN(Table112345791014[[#This Row],[b (mm)]],AA22)^3</f>
        <v>17999928239.0625</v>
      </c>
      <c r="AH22" s="111">
        <f>Table112345791014[[#This Row],[b (mm)]]*AA22^3/12</f>
        <v>200000000000</v>
      </c>
      <c r="AI22" s="111">
        <f>Table112345791014[[#This Row],[a (mm)]]*2</f>
        <v>10800</v>
      </c>
      <c r="AJ22"/>
      <c r="AK22"/>
      <c r="AL22"/>
      <c r="AM22"/>
      <c r="AN22"/>
      <c r="AO22"/>
      <c r="AP22"/>
      <c r="AQ22"/>
      <c r="AR22"/>
    </row>
    <row r="23" spans="1:44" s="129" customFormat="1" x14ac:dyDescent="0.25">
      <c r="A23" s="327" t="s">
        <v>239</v>
      </c>
      <c r="B23" s="328">
        <v>22</v>
      </c>
      <c r="C23" s="327">
        <v>2</v>
      </c>
      <c r="D23" s="327">
        <v>2.92</v>
      </c>
      <c r="E23" s="327">
        <v>225</v>
      </c>
      <c r="F23" s="137">
        <f>Table112345791014[[#This Row],[d (mm)]]</f>
        <v>1921.7081850533807</v>
      </c>
      <c r="G23" s="111">
        <f t="shared" si="9"/>
        <v>1215000</v>
      </c>
      <c r="H23" s="111">
        <f t="shared" si="10"/>
        <v>2.3066600836479346E-7</v>
      </c>
      <c r="I23" s="111">
        <f>G23/(Table112345791014[[#This Row],[b (mm)]]*Z23^2)</f>
        <v>1.0966805555555556E-3</v>
      </c>
      <c r="J23" s="111">
        <f t="shared" si="11"/>
        <v>0.12958066896212495</v>
      </c>
      <c r="K23" s="111">
        <f t="shared" si="12"/>
        <v>3.980907590504156E-7</v>
      </c>
      <c r="L23" s="111">
        <f>E23/(Table112345791014[[#This Row],[b (mm)]]*Z23)</f>
        <v>3.9027777777777775E-4</v>
      </c>
      <c r="M23" s="111">
        <f>Table112345791014[[#This Row],[M (KN.mm)]]/(Table112345791014[[#This Row],[b (mm)]]*Table112345791014[[#This Row],[d (mm)]])</f>
        <v>2.1074999999999999</v>
      </c>
      <c r="N23" s="111">
        <f>Table112345791014[[#This Row],[M (KN.mm)]]/(Table112345791014[[#This Row],[b (mm)]]*Table112345791014[[#This Row],[h (mm)]])</f>
        <v>2.0249999999999999</v>
      </c>
      <c r="O23" s="111">
        <f>Table112345791014[[#This Row],[M (KN.mm)]]/(Table112345791014[[#This Row],[b (mm)]]*Table112345791014[[#This Row],[h (mm)]]*Table112345791014[[#This Row],[L(mm)]])</f>
        <v>1.875E-4</v>
      </c>
      <c r="P23" s="111">
        <f>Table112345791014[[#This Row],[M (KN.mm)]]/(Table112345791014[[#This Row],[b (mm)]]*Table112345791014[[#This Row],[d (mm)]]*Table112345791014[[#This Row],[L(mm)]])</f>
        <v>1.9513888888888887E-4</v>
      </c>
      <c r="Q23" s="111">
        <f>Table112345791014[[#This Row],[M (KN.mm)]]/(Table112345791014[[#This Row],[b (mm)]]*Table112345791014[[#This Row],[h (mm)]]*Table112345791014[[#This Row],[L(mm)]]*Table112345791014[[#This Row],[fc (Mpa)]])</f>
        <v>7.1564885496183204E-6</v>
      </c>
      <c r="R23" s="111">
        <f>Table112345791014[[#This Row],[M (KN.mm)]]/(Table112345791014[[#This Row],[b (mm)]]*Table112345791014[[#This Row],[h (mm)]]*Table112345791014[[#This Row],[L(mm)]]/2)</f>
        <v>3.7500000000000001E-4</v>
      </c>
      <c r="S23" s="111">
        <f>Table112345791014[[#This Row],[M (KN.mm)]]/(Table112345791014[[#This Row],[a (mm)]]*Table112345791014[[#This Row],[b (mm)]]*Table112345791014[[#This Row],[h (mm)]]*Table112345791014[[#This Row],[L(mm)]]/2)</f>
        <v>6.944444444444444E-8</v>
      </c>
      <c r="T23" s="111">
        <f>G23/($AL$5*AH23*0.001*Table112345791014[[#This Row],[pho (%)]])</f>
        <v>1.5175395287157465E-7</v>
      </c>
      <c r="U23" s="111">
        <f>Table112345791014[[#This Row],[M (KN.mm)]]/(Table112345791014[[#This Row],[b (mm)]]*Table112345791014[[#This Row],[d (mm)]]*Table112345791014[[#This Row],[pho (%)]])</f>
        <v>1.3865131578947367</v>
      </c>
      <c r="V23" s="111">
        <f>E23*224.8/(2*SQRT(Table112345791014[[#This Row],[fc (Mpa)]]*145.037)*Table112345791014[[#This Row],[b (mm)]]*Table112345791014[[#This Row],[d (mm)]]*(1/25.4)^2)</f>
        <v>0.4591108096605393</v>
      </c>
      <c r="W23" s="111">
        <f>Table112345791014[[#This Row],[M (KN.mm)]]/$G$27</f>
        <v>0.59210526315789469</v>
      </c>
      <c r="X23" s="111">
        <f t="shared" si="4"/>
        <v>0.4591108096605393</v>
      </c>
      <c r="Y23">
        <v>5400</v>
      </c>
      <c r="Z23">
        <f>Table112345791014[[#This Row],[a (mm)]]/2.81</f>
        <v>1921.7081850533807</v>
      </c>
      <c r="AA23">
        <v>2000</v>
      </c>
      <c r="AB23">
        <v>300</v>
      </c>
      <c r="AC23">
        <v>26.2</v>
      </c>
      <c r="AD23" s="111">
        <f>Table112345791014[[#This Row],[pho (%)]]*Table112345791014[[#This Row],[b (mm)]]*Table112345791014[[#This Row],[h (mm)]]/100</f>
        <v>9120</v>
      </c>
      <c r="AE23">
        <v>1.52</v>
      </c>
      <c r="AF23" s="111">
        <v>535</v>
      </c>
      <c r="AG23" s="111">
        <f>(1/3-0.21*(MIN(Table112345791014[[#This Row],[b (mm)]],AA23)/MAX(Table112345791014[[#This Row],[b (mm)]],AA23))*(MIN(Table112345791014[[#This Row],[b (mm)]],AA23)^4/(12*MAX(Table112345791014[[#This Row],[b (mm)]],AA23)^4)))*MAX(Table112345791014[[#This Row],[b (mm)]],AA23)*MIN(Table112345791014[[#This Row],[b (mm)]],AA23)^3</f>
        <v>17999928239.0625</v>
      </c>
      <c r="AH23" s="111">
        <f>Table112345791014[[#This Row],[b (mm)]]*AA23^3/12</f>
        <v>200000000000</v>
      </c>
      <c r="AI23" s="111">
        <f>Table112345791014[[#This Row],[a (mm)]]*2</f>
        <v>10800</v>
      </c>
      <c r="AJ23"/>
      <c r="AK23"/>
      <c r="AL23"/>
      <c r="AM23"/>
      <c r="AN23"/>
      <c r="AO23"/>
      <c r="AP23"/>
      <c r="AQ23"/>
      <c r="AR23"/>
    </row>
    <row r="24" spans="1:44" s="129" customFormat="1" x14ac:dyDescent="0.25">
      <c r="A24" s="327" t="s">
        <v>239</v>
      </c>
      <c r="B24" s="328">
        <v>23</v>
      </c>
      <c r="C24" s="327">
        <v>3</v>
      </c>
      <c r="D24" s="327">
        <v>2.92</v>
      </c>
      <c r="E24" s="327">
        <v>260</v>
      </c>
      <c r="F24" s="137">
        <f>Table112345791014[[#This Row],[d (mm)]]</f>
        <v>1921.7081850533807</v>
      </c>
      <c r="G24" s="111">
        <f t="shared" si="9"/>
        <v>1404000</v>
      </c>
      <c r="H24" s="111">
        <f t="shared" si="10"/>
        <v>2.6654738744376131E-7</v>
      </c>
      <c r="I24" s="111">
        <f>G24/(Table112345791014[[#This Row],[b (mm)]]*Z24^2)</f>
        <v>1.2672753086419755E-3</v>
      </c>
      <c r="J24" s="111">
        <f t="shared" si="11"/>
        <v>0.14973766191178881</v>
      </c>
      <c r="K24" s="111">
        <f t="shared" si="12"/>
        <v>4.6001598823603581E-7</v>
      </c>
      <c r="L24" s="111">
        <f>E24/(Table112345791014[[#This Row],[b (mm)]]*Z24)</f>
        <v>4.5098765432098766E-4</v>
      </c>
      <c r="M24" s="111">
        <f>Table112345791014[[#This Row],[M (KN.mm)]]/(Table112345791014[[#This Row],[b (mm)]]*Table112345791014[[#This Row],[d (mm)]])</f>
        <v>2.4353333333333333</v>
      </c>
      <c r="N24" s="111">
        <f>Table112345791014[[#This Row],[M (KN.mm)]]/(Table112345791014[[#This Row],[b (mm)]]*Table112345791014[[#This Row],[h (mm)]])</f>
        <v>2.34</v>
      </c>
      <c r="O24" s="111">
        <f>Table112345791014[[#This Row],[M (KN.mm)]]/(Table112345791014[[#This Row],[b (mm)]]*Table112345791014[[#This Row],[h (mm)]]*Table112345791014[[#This Row],[L(mm)]])</f>
        <v>2.1666666666666666E-4</v>
      </c>
      <c r="P24" s="111">
        <f>Table112345791014[[#This Row],[M (KN.mm)]]/(Table112345791014[[#This Row],[b (mm)]]*Table112345791014[[#This Row],[d (mm)]]*Table112345791014[[#This Row],[L(mm)]])</f>
        <v>2.254938271604938E-4</v>
      </c>
      <c r="Q24" s="111">
        <f>Table112345791014[[#This Row],[M (KN.mm)]]/(Table112345791014[[#This Row],[b (mm)]]*Table112345791014[[#This Row],[h (mm)]]*Table112345791014[[#This Row],[L(mm)]]*Table112345791014[[#This Row],[fc (Mpa)]])</f>
        <v>8.2697201017811708E-6</v>
      </c>
      <c r="R24" s="111">
        <f>Table112345791014[[#This Row],[M (KN.mm)]]/(Table112345791014[[#This Row],[b (mm)]]*Table112345791014[[#This Row],[h (mm)]]*Table112345791014[[#This Row],[L(mm)]]/2)</f>
        <v>4.3333333333333331E-4</v>
      </c>
      <c r="S24" s="111">
        <f>Table112345791014[[#This Row],[M (KN.mm)]]/(Table112345791014[[#This Row],[a (mm)]]*Table112345791014[[#This Row],[b (mm)]]*Table112345791014[[#This Row],[h (mm)]]*Table112345791014[[#This Row],[L(mm)]]/2)</f>
        <v>8.0246913580246916E-8</v>
      </c>
      <c r="T24" s="111">
        <f>G24/($AL$5*AH24*0.001*Table112345791014[[#This Row],[pho (%)]])</f>
        <v>1.7536012331826403E-7</v>
      </c>
      <c r="U24" s="111">
        <f>Table112345791014[[#This Row],[M (KN.mm)]]/(Table112345791014[[#This Row],[b (mm)]]*Table112345791014[[#This Row],[d (mm)]]*Table112345791014[[#This Row],[pho (%)]])</f>
        <v>1.6021929824561403</v>
      </c>
      <c r="V24" s="111">
        <f>E24*224.8/(2*SQRT(Table112345791014[[#This Row],[fc (Mpa)]]*145.037)*Table112345791014[[#This Row],[b (mm)]]*Table112345791014[[#This Row],[d (mm)]]*(1/25.4)^2)</f>
        <v>0.53052804671884546</v>
      </c>
      <c r="W24" s="111">
        <f>Table112345791014[[#This Row],[M (KN.mm)]]/$G$27</f>
        <v>0.68421052631578949</v>
      </c>
      <c r="X24" s="111">
        <f t="shared" si="4"/>
        <v>0.53052804671884546</v>
      </c>
      <c r="Y24">
        <v>5400</v>
      </c>
      <c r="Z24">
        <f>Table112345791014[[#This Row],[a (mm)]]/2.81</f>
        <v>1921.7081850533807</v>
      </c>
      <c r="AA24">
        <v>2000</v>
      </c>
      <c r="AB24">
        <v>300</v>
      </c>
      <c r="AC24">
        <v>26.2</v>
      </c>
      <c r="AD24" s="111">
        <f>Table112345791014[[#This Row],[pho (%)]]*Table112345791014[[#This Row],[b (mm)]]*Table112345791014[[#This Row],[h (mm)]]/100</f>
        <v>9120</v>
      </c>
      <c r="AE24">
        <v>1.52</v>
      </c>
      <c r="AF24" s="111">
        <v>535</v>
      </c>
      <c r="AG24" s="111">
        <f>(1/3-0.21*(MIN(Table112345791014[[#This Row],[b (mm)]],AA24)/MAX(Table112345791014[[#This Row],[b (mm)]],AA24))*(MIN(Table112345791014[[#This Row],[b (mm)]],AA24)^4/(12*MAX(Table112345791014[[#This Row],[b (mm)]],AA24)^4)))*MAX(Table112345791014[[#This Row],[b (mm)]],AA24)*MIN(Table112345791014[[#This Row],[b (mm)]],AA24)^3</f>
        <v>17999928239.0625</v>
      </c>
      <c r="AH24" s="111">
        <f>Table112345791014[[#This Row],[b (mm)]]*AA24^3/12</f>
        <v>200000000000</v>
      </c>
      <c r="AI24" s="111">
        <f>Table112345791014[[#This Row],[a (mm)]]*2</f>
        <v>10800</v>
      </c>
      <c r="AJ24"/>
      <c r="AK24"/>
      <c r="AL24"/>
      <c r="AM24"/>
      <c r="AN24"/>
      <c r="AO24"/>
      <c r="AP24"/>
      <c r="AQ24"/>
      <c r="AR24"/>
    </row>
    <row r="25" spans="1:44" s="129" customFormat="1" x14ac:dyDescent="0.25">
      <c r="A25" s="327" t="s">
        <v>239</v>
      </c>
      <c r="B25" s="328">
        <v>24</v>
      </c>
      <c r="C25" s="327">
        <v>4</v>
      </c>
      <c r="D25" s="327">
        <v>2.92</v>
      </c>
      <c r="E25" s="327">
        <v>310</v>
      </c>
      <c r="F25" s="137">
        <f>Table112345791014[[#This Row],[d (mm)]]</f>
        <v>1921.7081850533807</v>
      </c>
      <c r="G25" s="111">
        <f t="shared" si="9"/>
        <v>1674000</v>
      </c>
      <c r="H25" s="111">
        <f t="shared" si="10"/>
        <v>3.1780650041371542E-7</v>
      </c>
      <c r="I25" s="111">
        <f>G25/(Table112345791014[[#This Row],[b (mm)]]*Z25^2)</f>
        <v>1.5109820987654322E-3</v>
      </c>
      <c r="J25" s="111">
        <f t="shared" si="11"/>
        <v>0.17853336612559434</v>
      </c>
      <c r="K25" s="111">
        <f t="shared" si="12"/>
        <v>5.4848060135835037E-7</v>
      </c>
      <c r="L25" s="111">
        <f>E25/(Table112345791014[[#This Row],[b (mm)]]*Z25)</f>
        <v>5.3771604938271606E-4</v>
      </c>
      <c r="M25" s="111">
        <f>Table112345791014[[#This Row],[M (KN.mm)]]/(Table112345791014[[#This Row],[b (mm)]]*Table112345791014[[#This Row],[d (mm)]])</f>
        <v>2.9036666666666666</v>
      </c>
      <c r="N25" s="111">
        <f>Table112345791014[[#This Row],[M (KN.mm)]]/(Table112345791014[[#This Row],[b (mm)]]*Table112345791014[[#This Row],[h (mm)]])</f>
        <v>2.79</v>
      </c>
      <c r="O25" s="111">
        <f>Table112345791014[[#This Row],[M (KN.mm)]]/(Table112345791014[[#This Row],[b (mm)]]*Table112345791014[[#This Row],[h (mm)]]*Table112345791014[[#This Row],[L(mm)]])</f>
        <v>2.5833333333333334E-4</v>
      </c>
      <c r="P25" s="111">
        <f>Table112345791014[[#This Row],[M (KN.mm)]]/(Table112345791014[[#This Row],[b (mm)]]*Table112345791014[[#This Row],[d (mm)]]*Table112345791014[[#This Row],[L(mm)]])</f>
        <v>2.6885802469135803E-4</v>
      </c>
      <c r="Q25" s="111">
        <f>Table112345791014[[#This Row],[M (KN.mm)]]/(Table112345791014[[#This Row],[b (mm)]]*Table112345791014[[#This Row],[h (mm)]]*Table112345791014[[#This Row],[L(mm)]]*Table112345791014[[#This Row],[fc (Mpa)]])</f>
        <v>9.8600508905852424E-6</v>
      </c>
      <c r="R25" s="111">
        <f>Table112345791014[[#This Row],[M (KN.mm)]]/(Table112345791014[[#This Row],[b (mm)]]*Table112345791014[[#This Row],[h (mm)]]*Table112345791014[[#This Row],[L(mm)]]/2)</f>
        <v>5.1666666666666668E-4</v>
      </c>
      <c r="S25" s="111">
        <f>Table112345791014[[#This Row],[M (KN.mm)]]/(Table112345791014[[#This Row],[a (mm)]]*Table112345791014[[#This Row],[b (mm)]]*Table112345791014[[#This Row],[h (mm)]]*Table112345791014[[#This Row],[L(mm)]]/2)</f>
        <v>9.5679012345679013E-8</v>
      </c>
      <c r="T25" s="111">
        <f>G25/($AL$5*AH25*0.001*Table112345791014[[#This Row],[pho (%)]])</f>
        <v>2.0908322395639174E-7</v>
      </c>
      <c r="U25" s="111">
        <f>Table112345791014[[#This Row],[M (KN.mm)]]/(Table112345791014[[#This Row],[b (mm)]]*Table112345791014[[#This Row],[d (mm)]]*Table112345791014[[#This Row],[pho (%)]])</f>
        <v>1.9103070175438595</v>
      </c>
      <c r="V25" s="111">
        <f>E25*224.8/(2*SQRT(Table112345791014[[#This Row],[fc (Mpa)]]*145.037)*Table112345791014[[#This Row],[b (mm)]]*Table112345791014[[#This Row],[d (mm)]]*(1/25.4)^2)</f>
        <v>0.63255267108785418</v>
      </c>
      <c r="W25" s="111">
        <f>Table112345791014[[#This Row],[M (KN.mm)]]/$G$27</f>
        <v>0.81578947368421051</v>
      </c>
      <c r="X25" s="111">
        <f t="shared" si="4"/>
        <v>0.63255267108785418</v>
      </c>
      <c r="Y25">
        <v>5400</v>
      </c>
      <c r="Z25">
        <f>Table112345791014[[#This Row],[a (mm)]]/2.81</f>
        <v>1921.7081850533807</v>
      </c>
      <c r="AA25">
        <v>2000</v>
      </c>
      <c r="AB25">
        <v>300</v>
      </c>
      <c r="AC25">
        <v>26.2</v>
      </c>
      <c r="AD25" s="111">
        <f>Table112345791014[[#This Row],[pho (%)]]*Table112345791014[[#This Row],[b (mm)]]*Table112345791014[[#This Row],[h (mm)]]/100</f>
        <v>9120</v>
      </c>
      <c r="AE25">
        <v>1.52</v>
      </c>
      <c r="AF25" s="111">
        <v>535</v>
      </c>
      <c r="AG25" s="111">
        <f>(1/3-0.21*(MIN(Table112345791014[[#This Row],[b (mm)]],AA25)/MAX(Table112345791014[[#This Row],[b (mm)]],AA25))*(MIN(Table112345791014[[#This Row],[b (mm)]],AA25)^4/(12*MAX(Table112345791014[[#This Row],[b (mm)]],AA25)^4)))*MAX(Table112345791014[[#This Row],[b (mm)]],AA25)*MIN(Table112345791014[[#This Row],[b (mm)]],AA25)^3</f>
        <v>17999928239.0625</v>
      </c>
      <c r="AH25" s="111">
        <f>Table112345791014[[#This Row],[b (mm)]]*AA25^3/12</f>
        <v>200000000000</v>
      </c>
      <c r="AI25" s="111">
        <f>Table112345791014[[#This Row],[a (mm)]]*2</f>
        <v>10800</v>
      </c>
      <c r="AJ25"/>
      <c r="AK25"/>
      <c r="AL25"/>
      <c r="AM25"/>
      <c r="AN25"/>
      <c r="AO25"/>
      <c r="AP25"/>
      <c r="AQ25"/>
      <c r="AR25"/>
    </row>
    <row r="26" spans="1:44" s="129" customFormat="1" x14ac:dyDescent="0.25">
      <c r="A26" s="327" t="s">
        <v>239</v>
      </c>
      <c r="B26" s="328">
        <v>25</v>
      </c>
      <c r="C26" s="327">
        <v>5</v>
      </c>
      <c r="D26" s="327">
        <v>2.92</v>
      </c>
      <c r="E26" s="327">
        <v>360</v>
      </c>
      <c r="F26" s="137">
        <f>Table112345791014[[#This Row],[d (mm)]]</f>
        <v>1921.7081850533807</v>
      </c>
      <c r="G26" s="111">
        <f t="shared" si="9"/>
        <v>1944000</v>
      </c>
      <c r="H26" s="111">
        <f t="shared" si="10"/>
        <v>3.6906561338366953E-7</v>
      </c>
      <c r="I26" s="111">
        <f>G26/(Table112345791014[[#This Row],[b (mm)]]*Z26^2)</f>
        <v>1.7546888888888891E-3</v>
      </c>
      <c r="J26" s="111">
        <f t="shared" si="11"/>
        <v>0.2073290703393999</v>
      </c>
      <c r="K26" s="111">
        <f t="shared" si="12"/>
        <v>6.3694521448066494E-7</v>
      </c>
      <c r="L26" s="111">
        <f>E26/(Table112345791014[[#This Row],[b (mm)]]*Z26)</f>
        <v>6.244444444444444E-4</v>
      </c>
      <c r="M26" s="111">
        <f>Table112345791014[[#This Row],[M (KN.mm)]]/(Table112345791014[[#This Row],[b (mm)]]*Table112345791014[[#This Row],[d (mm)]])</f>
        <v>3.3719999999999999</v>
      </c>
      <c r="N26" s="111">
        <f>Table112345791014[[#This Row],[M (KN.mm)]]/(Table112345791014[[#This Row],[b (mm)]]*Table112345791014[[#This Row],[h (mm)]])</f>
        <v>3.24</v>
      </c>
      <c r="O26" s="111">
        <f>Table112345791014[[#This Row],[M (KN.mm)]]/(Table112345791014[[#This Row],[b (mm)]]*Table112345791014[[#This Row],[h (mm)]]*Table112345791014[[#This Row],[L(mm)]])</f>
        <v>2.9999999999999997E-4</v>
      </c>
      <c r="P26" s="111">
        <f>Table112345791014[[#This Row],[M (KN.mm)]]/(Table112345791014[[#This Row],[b (mm)]]*Table112345791014[[#This Row],[d (mm)]]*Table112345791014[[#This Row],[L(mm)]])</f>
        <v>3.122222222222222E-4</v>
      </c>
      <c r="Q26" s="111">
        <f>Table112345791014[[#This Row],[M (KN.mm)]]/(Table112345791014[[#This Row],[b (mm)]]*Table112345791014[[#This Row],[h (mm)]]*Table112345791014[[#This Row],[L(mm)]]*Table112345791014[[#This Row],[fc (Mpa)]])</f>
        <v>1.1450381679389312E-5</v>
      </c>
      <c r="R26" s="111">
        <f>Table112345791014[[#This Row],[M (KN.mm)]]/(Table112345791014[[#This Row],[b (mm)]]*Table112345791014[[#This Row],[h (mm)]]*Table112345791014[[#This Row],[L(mm)]]/2)</f>
        <v>5.9999999999999995E-4</v>
      </c>
      <c r="S26" s="111">
        <f>Table112345791014[[#This Row],[M (KN.mm)]]/(Table112345791014[[#This Row],[a (mm)]]*Table112345791014[[#This Row],[b (mm)]]*Table112345791014[[#This Row],[h (mm)]]*Table112345791014[[#This Row],[L(mm)]]/2)</f>
        <v>1.1111111111111111E-7</v>
      </c>
      <c r="T26" s="111">
        <f>G26/($AL$5*AH26*0.001*Table112345791014[[#This Row],[pho (%)]])</f>
        <v>2.4280632459451945E-7</v>
      </c>
      <c r="U26" s="111">
        <f>Table112345791014[[#This Row],[M (KN.mm)]]/(Table112345791014[[#This Row],[b (mm)]]*Table112345791014[[#This Row],[d (mm)]]*Table112345791014[[#This Row],[pho (%)]])</f>
        <v>2.2184210526315788</v>
      </c>
      <c r="V26" s="111">
        <f>E26*224.8/(2*SQRT(Table112345791014[[#This Row],[fc (Mpa)]]*145.037)*Table112345791014[[#This Row],[b (mm)]]*Table112345791014[[#This Row],[d (mm)]]*(1/25.4)^2)</f>
        <v>0.7345772954568629</v>
      </c>
      <c r="W26" s="111">
        <f>Table112345791014[[#This Row],[M (KN.mm)]]/$G$27</f>
        <v>0.94736842105263153</v>
      </c>
      <c r="X26" s="111">
        <f t="shared" si="4"/>
        <v>0.7345772954568629</v>
      </c>
      <c r="Y26">
        <v>5400</v>
      </c>
      <c r="Z26">
        <f>Table112345791014[[#This Row],[a (mm)]]/2.81</f>
        <v>1921.7081850533807</v>
      </c>
      <c r="AA26">
        <v>2000</v>
      </c>
      <c r="AB26">
        <v>300</v>
      </c>
      <c r="AC26">
        <v>26.2</v>
      </c>
      <c r="AD26" s="111">
        <f>Table112345791014[[#This Row],[pho (%)]]*Table112345791014[[#This Row],[b (mm)]]*Table112345791014[[#This Row],[h (mm)]]/100</f>
        <v>9120</v>
      </c>
      <c r="AE26">
        <v>1.52</v>
      </c>
      <c r="AF26" s="111">
        <v>535</v>
      </c>
      <c r="AG26" s="111">
        <f>(1/3-0.21*(MIN(Table112345791014[[#This Row],[b (mm)]],AA26)/MAX(Table112345791014[[#This Row],[b (mm)]],AA26))*(MIN(Table112345791014[[#This Row],[b (mm)]],AA26)^4/(12*MAX(Table112345791014[[#This Row],[b (mm)]],AA26)^4)))*MAX(Table112345791014[[#This Row],[b (mm)]],AA26)*MIN(Table112345791014[[#This Row],[b (mm)]],AA26)^3</f>
        <v>17999928239.0625</v>
      </c>
      <c r="AH26" s="111">
        <f>Table112345791014[[#This Row],[b (mm)]]*AA26^3/12</f>
        <v>200000000000</v>
      </c>
      <c r="AI26" s="111">
        <f>Table112345791014[[#This Row],[a (mm)]]*2</f>
        <v>10800</v>
      </c>
      <c r="AJ26"/>
      <c r="AK26"/>
      <c r="AL26"/>
      <c r="AM26"/>
      <c r="AN26"/>
      <c r="AO26"/>
      <c r="AP26"/>
      <c r="AQ26"/>
      <c r="AR26"/>
    </row>
    <row r="27" spans="1:44" s="129" customFormat="1" x14ac:dyDescent="0.25">
      <c r="A27" s="327" t="s">
        <v>239</v>
      </c>
      <c r="B27" s="328">
        <v>26</v>
      </c>
      <c r="C27" s="327">
        <v>6</v>
      </c>
      <c r="D27" s="327">
        <v>2.92</v>
      </c>
      <c r="E27" s="327">
        <v>380</v>
      </c>
      <c r="F27" s="137">
        <f>Table112345791014[[#This Row],[d (mm)]]</f>
        <v>1921.7081850533807</v>
      </c>
      <c r="G27" s="111">
        <f t="shared" si="9"/>
        <v>2052000</v>
      </c>
      <c r="H27" s="111">
        <f t="shared" si="10"/>
        <v>3.8956925857165118E-7</v>
      </c>
      <c r="I27" s="111">
        <f>G27/(Table112345791014[[#This Row],[b (mm)]]*Z27^2)</f>
        <v>1.8521716049382717E-3</v>
      </c>
      <c r="J27" s="111">
        <f t="shared" si="11"/>
        <v>0.21884735202492211</v>
      </c>
      <c r="K27" s="111">
        <f t="shared" si="12"/>
        <v>6.7233105972959079E-7</v>
      </c>
      <c r="L27" s="111">
        <f>E27/(Table112345791014[[#This Row],[b (mm)]]*Z27)</f>
        <v>6.5913580246913578E-4</v>
      </c>
      <c r="M27" s="111">
        <f>Table112345791014[[#This Row],[M (KN.mm)]]/(Table112345791014[[#This Row],[b (mm)]]*Table112345791014[[#This Row],[d (mm)]])</f>
        <v>3.5593333333333335</v>
      </c>
      <c r="N27" s="111">
        <f>Table112345791014[[#This Row],[M (KN.mm)]]/(Table112345791014[[#This Row],[b (mm)]]*Table112345791014[[#This Row],[h (mm)]])</f>
        <v>3.42</v>
      </c>
      <c r="O27" s="111">
        <f>Table112345791014[[#This Row],[M (KN.mm)]]/(Table112345791014[[#This Row],[b (mm)]]*Table112345791014[[#This Row],[h (mm)]]*Table112345791014[[#This Row],[L(mm)]])</f>
        <v>3.1666666666666665E-4</v>
      </c>
      <c r="P27" s="111">
        <f>Table112345791014[[#This Row],[M (KN.mm)]]/(Table112345791014[[#This Row],[b (mm)]]*Table112345791014[[#This Row],[d (mm)]]*Table112345791014[[#This Row],[L(mm)]])</f>
        <v>3.2956790123456789E-4</v>
      </c>
      <c r="Q27" s="111">
        <f>Table112345791014[[#This Row],[M (KN.mm)]]/(Table112345791014[[#This Row],[b (mm)]]*Table112345791014[[#This Row],[h (mm)]]*Table112345791014[[#This Row],[L(mm)]]*Table112345791014[[#This Row],[fc (Mpa)]])</f>
        <v>1.2086513994910942E-5</v>
      </c>
      <c r="R27" s="111">
        <f>Table112345791014[[#This Row],[M (KN.mm)]]/(Table112345791014[[#This Row],[b (mm)]]*Table112345791014[[#This Row],[h (mm)]]*Table112345791014[[#This Row],[L(mm)]]/2)</f>
        <v>6.333333333333333E-4</v>
      </c>
      <c r="S27" s="111">
        <f>Table112345791014[[#This Row],[M (KN.mm)]]/(Table112345791014[[#This Row],[a (mm)]]*Table112345791014[[#This Row],[b (mm)]]*Table112345791014[[#This Row],[h (mm)]]*Table112345791014[[#This Row],[L(mm)]]/2)</f>
        <v>1.1728395061728395E-7</v>
      </c>
      <c r="T27" s="111">
        <f>G27/($AL$5*AH27*0.001*Table112345791014[[#This Row],[pho (%)]])</f>
        <v>2.5629556484977049E-7</v>
      </c>
      <c r="U27" s="111">
        <f>Table112345791014[[#This Row],[M (KN.mm)]]/(Table112345791014[[#This Row],[b (mm)]]*Table112345791014[[#This Row],[d (mm)]]*Table112345791014[[#This Row],[pho (%)]])</f>
        <v>2.3416666666666663</v>
      </c>
      <c r="V27" s="111">
        <f>E27*224.8/(2*SQRT(Table112345791014[[#This Row],[fc (Mpa)]]*145.037)*Table112345791014[[#This Row],[b (mm)]]*Table112345791014[[#This Row],[d (mm)]]*(1/25.4)^2)</f>
        <v>0.77538714520446639</v>
      </c>
      <c r="W27" s="111">
        <f>Table112345791014[[#This Row],[M (KN.mm)]]/$G$27</f>
        <v>1</v>
      </c>
      <c r="X27" s="111">
        <f>V27</f>
        <v>0.77538714520446639</v>
      </c>
      <c r="Y27">
        <v>5400</v>
      </c>
      <c r="Z27">
        <f>Table112345791014[[#This Row],[a (mm)]]/2.81</f>
        <v>1921.7081850533807</v>
      </c>
      <c r="AA27">
        <v>2000</v>
      </c>
      <c r="AB27">
        <v>300</v>
      </c>
      <c r="AC27">
        <v>26.2</v>
      </c>
      <c r="AD27" s="111">
        <f>Table112345791014[[#This Row],[pho (%)]]*Table112345791014[[#This Row],[b (mm)]]*Table112345791014[[#This Row],[h (mm)]]/100</f>
        <v>9120</v>
      </c>
      <c r="AE27">
        <v>1.52</v>
      </c>
      <c r="AF27" s="111">
        <v>535</v>
      </c>
      <c r="AG27" s="111">
        <f>(1/3-0.21*(MIN(Table112345791014[[#This Row],[b (mm)]],AA27)/MAX(Table112345791014[[#This Row],[b (mm)]],AA27))*(MIN(Table112345791014[[#This Row],[b (mm)]],AA27)^4/(12*MAX(Table112345791014[[#This Row],[b (mm)]],AA27)^4)))*MAX(Table112345791014[[#This Row],[b (mm)]],AA27)*MIN(Table112345791014[[#This Row],[b (mm)]],AA27)^3</f>
        <v>17999928239.0625</v>
      </c>
      <c r="AH27" s="111">
        <f>Table112345791014[[#This Row],[b (mm)]]*AA27^3/12</f>
        <v>200000000000</v>
      </c>
      <c r="AI27" s="111">
        <f>Table112345791014[[#This Row],[a (mm)]]*2</f>
        <v>10800</v>
      </c>
      <c r="AJ27"/>
      <c r="AK27"/>
      <c r="AL27"/>
      <c r="AM27"/>
      <c r="AN27"/>
      <c r="AO27"/>
      <c r="AP27"/>
      <c r="AQ27"/>
      <c r="AR27"/>
    </row>
    <row r="28" spans="1:44" s="129" customForma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s="129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s="129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K31"/>
      <c r="AL31"/>
      <c r="AM31"/>
      <c r="AN31"/>
      <c r="AO31"/>
      <c r="AP31"/>
      <c r="AQ31"/>
      <c r="AR31"/>
    </row>
    <row r="32" spans="1:4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K32"/>
      <c r="AL32"/>
      <c r="AM32"/>
      <c r="AN32"/>
      <c r="AO32"/>
      <c r="AP32"/>
      <c r="AQ32"/>
      <c r="AR32"/>
    </row>
    <row r="33" spans="1:4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K33"/>
      <c r="AL33"/>
      <c r="AM33"/>
      <c r="AN33"/>
      <c r="AO33"/>
      <c r="AP33"/>
      <c r="AQ33"/>
      <c r="AR33"/>
    </row>
    <row r="34" spans="1:4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K34"/>
      <c r="AL34"/>
      <c r="AM34"/>
      <c r="AN34"/>
      <c r="AO34"/>
      <c r="AP34"/>
      <c r="AQ34"/>
      <c r="AR34"/>
    </row>
    <row r="35" spans="1:4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K35"/>
      <c r="AL35"/>
      <c r="AM35"/>
      <c r="AN35"/>
      <c r="AO35"/>
      <c r="AP35"/>
      <c r="AQ35"/>
      <c r="AR35"/>
    </row>
    <row r="36" spans="1:4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K36"/>
      <c r="AL36"/>
      <c r="AM36"/>
      <c r="AN36"/>
      <c r="AO36"/>
      <c r="AP36"/>
      <c r="AQ36"/>
      <c r="AR36"/>
    </row>
    <row r="37" spans="1:4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K39"/>
      <c r="AL39"/>
      <c r="AM39"/>
      <c r="AN39"/>
      <c r="AO39"/>
      <c r="AP39"/>
      <c r="AQ39"/>
      <c r="AR39"/>
    </row>
    <row r="40" spans="1:4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K40"/>
      <c r="AL40"/>
      <c r="AM40"/>
      <c r="AN40"/>
      <c r="AO40"/>
      <c r="AP40"/>
      <c r="AQ40"/>
      <c r="AR40"/>
    </row>
    <row r="41" spans="1:4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K41"/>
      <c r="AL41"/>
      <c r="AM41"/>
      <c r="AN41"/>
      <c r="AO41"/>
      <c r="AP41"/>
      <c r="AQ41"/>
      <c r="AR41"/>
    </row>
    <row r="42" spans="1:4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K42"/>
      <c r="AL42"/>
      <c r="AM42"/>
      <c r="AN42"/>
      <c r="AO42"/>
      <c r="AP42"/>
      <c r="AQ42"/>
      <c r="AR42"/>
    </row>
    <row r="43" spans="1:4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K43"/>
      <c r="AL43"/>
      <c r="AM43"/>
      <c r="AN43"/>
      <c r="AO43"/>
      <c r="AP43"/>
      <c r="AQ43"/>
      <c r="AR43"/>
    </row>
    <row r="44" spans="1:44" customFormat="1" x14ac:dyDescent="0.25"/>
    <row r="45" spans="1:4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K45"/>
      <c r="AL45"/>
      <c r="AM45"/>
      <c r="AN45"/>
      <c r="AO45"/>
      <c r="AP45"/>
      <c r="AQ45"/>
      <c r="AR45"/>
    </row>
    <row r="46" spans="1:4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K46"/>
      <c r="AL46"/>
      <c r="AM46"/>
      <c r="AN46"/>
      <c r="AO46"/>
      <c r="AP46"/>
      <c r="AQ46"/>
      <c r="AR46"/>
    </row>
    <row r="47" spans="1:4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K49"/>
      <c r="AL49"/>
      <c r="AM49"/>
      <c r="AN49"/>
      <c r="AO49"/>
      <c r="AP49"/>
      <c r="AQ49"/>
      <c r="AR49"/>
    </row>
    <row r="50" spans="1:4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K50"/>
      <c r="AL50"/>
      <c r="AM50"/>
      <c r="AN50"/>
      <c r="AO50"/>
      <c r="AP50"/>
      <c r="AQ50"/>
      <c r="AR50"/>
    </row>
    <row r="51" spans="1:4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K51"/>
      <c r="AL51"/>
      <c r="AM51"/>
      <c r="AN51"/>
      <c r="AO51"/>
      <c r="AP51"/>
      <c r="AQ51"/>
      <c r="AR51"/>
    </row>
    <row r="52" spans="1:4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K52"/>
      <c r="AL52"/>
      <c r="AM52"/>
      <c r="AN52"/>
      <c r="AO52"/>
      <c r="AP52"/>
      <c r="AQ52"/>
      <c r="AR52"/>
    </row>
    <row r="53" spans="1:4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K53"/>
      <c r="AL53"/>
      <c r="AM53"/>
      <c r="AN53"/>
      <c r="AO53"/>
      <c r="AP53"/>
      <c r="AQ53"/>
      <c r="AR53"/>
    </row>
    <row r="54" spans="1:4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K54"/>
      <c r="AL54"/>
      <c r="AM54"/>
      <c r="AN54"/>
      <c r="AO54"/>
      <c r="AP54"/>
      <c r="AQ54"/>
      <c r="AR54"/>
    </row>
    <row r="55" spans="1:4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K55"/>
      <c r="AL55"/>
      <c r="AM55"/>
      <c r="AN55"/>
      <c r="AO55"/>
      <c r="AP55"/>
      <c r="AQ55"/>
      <c r="AR55"/>
    </row>
    <row r="56" spans="1:4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K56"/>
      <c r="AL56"/>
      <c r="AM56"/>
      <c r="AN56"/>
      <c r="AO56"/>
      <c r="AP56"/>
      <c r="AQ56"/>
      <c r="AR56"/>
    </row>
    <row r="57" spans="1:4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K57"/>
      <c r="AL57"/>
      <c r="AM57"/>
      <c r="AN57"/>
      <c r="AO57"/>
      <c r="AP57"/>
      <c r="AQ57"/>
      <c r="AR57"/>
    </row>
    <row r="58" spans="1:4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K58"/>
      <c r="AL58"/>
      <c r="AM58"/>
      <c r="AN58"/>
      <c r="AO58"/>
      <c r="AP58"/>
      <c r="AQ58"/>
      <c r="AR58"/>
    </row>
    <row r="59" spans="1:4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K59"/>
      <c r="AL59"/>
      <c r="AM59"/>
      <c r="AN59"/>
      <c r="AO59"/>
      <c r="AP59"/>
      <c r="AQ59"/>
      <c r="AR59"/>
    </row>
    <row r="60" spans="1:4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K60"/>
      <c r="AL60"/>
      <c r="AM60"/>
      <c r="AN60"/>
      <c r="AO60"/>
      <c r="AP60"/>
      <c r="AQ60"/>
      <c r="AR60"/>
    </row>
    <row r="61" spans="1:4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K61"/>
      <c r="AL61"/>
      <c r="AM61"/>
      <c r="AN61"/>
      <c r="AO61"/>
      <c r="AP61"/>
      <c r="AQ61"/>
      <c r="AR61"/>
    </row>
    <row r="62" spans="1:4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K62"/>
      <c r="AL62"/>
      <c r="AM62"/>
      <c r="AN62"/>
      <c r="AO62"/>
      <c r="AP62"/>
      <c r="AQ62"/>
      <c r="AR62"/>
    </row>
    <row r="63" spans="1:4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K63"/>
      <c r="AL63"/>
      <c r="AM63"/>
      <c r="AN63"/>
      <c r="AO63"/>
      <c r="AP63"/>
      <c r="AQ63"/>
      <c r="AR63"/>
    </row>
    <row r="64" spans="1:44" s="1" customForma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s="1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s="1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K67"/>
      <c r="AL67"/>
      <c r="AM67"/>
      <c r="AN67"/>
      <c r="AO67"/>
      <c r="AP67"/>
      <c r="AQ67"/>
      <c r="AR67"/>
    </row>
    <row r="68" spans="1:4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K68"/>
      <c r="AL68"/>
      <c r="AM68"/>
      <c r="AN68"/>
      <c r="AO68"/>
      <c r="AP68"/>
      <c r="AQ68"/>
      <c r="AR68"/>
    </row>
    <row r="69" spans="1:4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K69"/>
      <c r="AL69"/>
      <c r="AM69"/>
      <c r="AN69"/>
      <c r="AO69"/>
      <c r="AP69"/>
      <c r="AQ69"/>
      <c r="AR69"/>
    </row>
    <row r="70" spans="1:4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K70"/>
      <c r="AL70"/>
      <c r="AM70"/>
      <c r="AN70"/>
      <c r="AO70"/>
      <c r="AP70"/>
      <c r="AQ70"/>
      <c r="AR70"/>
    </row>
    <row r="71" spans="1:4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K71"/>
      <c r="AL71"/>
      <c r="AM71"/>
      <c r="AN71"/>
      <c r="AO71"/>
      <c r="AP71"/>
      <c r="AQ71"/>
      <c r="AR71"/>
    </row>
    <row r="72" spans="1:4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K72"/>
      <c r="AL72"/>
      <c r="AM72"/>
      <c r="AN72"/>
      <c r="AO72"/>
      <c r="AP72"/>
      <c r="AQ72"/>
      <c r="AR72"/>
    </row>
    <row r="73" spans="1:4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K73"/>
      <c r="AL73"/>
      <c r="AM73"/>
      <c r="AN73"/>
      <c r="AO73"/>
      <c r="AP73"/>
      <c r="AQ73"/>
      <c r="AR73"/>
    </row>
    <row r="74" spans="1:4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K74"/>
      <c r="AL74"/>
      <c r="AM74"/>
      <c r="AN74"/>
      <c r="AO74"/>
      <c r="AP74"/>
      <c r="AQ74"/>
      <c r="AR74"/>
    </row>
    <row r="75" spans="1:4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K75"/>
      <c r="AL75"/>
      <c r="AM75"/>
      <c r="AN75"/>
      <c r="AO75"/>
      <c r="AP75"/>
      <c r="AQ75"/>
      <c r="AR75"/>
    </row>
    <row r="76" spans="1:4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K76"/>
      <c r="AL76"/>
      <c r="AM76"/>
      <c r="AN76"/>
      <c r="AO76"/>
      <c r="AP76"/>
      <c r="AQ76"/>
      <c r="AR76"/>
    </row>
    <row r="77" spans="1:4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K77"/>
      <c r="AL77"/>
      <c r="AM77"/>
      <c r="AN77"/>
      <c r="AO77"/>
      <c r="AP77"/>
      <c r="AQ77"/>
      <c r="AR77"/>
    </row>
    <row r="78" spans="1:4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K78"/>
      <c r="AL78"/>
      <c r="AM78"/>
      <c r="AN78"/>
      <c r="AO78"/>
      <c r="AP78"/>
      <c r="AQ78"/>
      <c r="AR78"/>
    </row>
    <row r="79" spans="1:4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K79"/>
      <c r="AL79"/>
      <c r="AM79"/>
      <c r="AN79"/>
      <c r="AO79"/>
      <c r="AP79"/>
      <c r="AQ79"/>
      <c r="AR79"/>
    </row>
    <row r="80" spans="1:4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K80"/>
      <c r="AL80"/>
      <c r="AM80"/>
      <c r="AN80"/>
      <c r="AO80"/>
      <c r="AP80"/>
      <c r="AQ80"/>
      <c r="AR80"/>
    </row>
    <row r="81" spans="1:4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K81"/>
      <c r="AL81"/>
      <c r="AM81"/>
      <c r="AN81"/>
      <c r="AO81"/>
      <c r="AP81"/>
      <c r="AQ81"/>
      <c r="AR81"/>
    </row>
    <row r="82" spans="1:4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K82"/>
      <c r="AL82"/>
      <c r="AM82"/>
      <c r="AN82"/>
      <c r="AO82"/>
      <c r="AP82"/>
      <c r="AQ82"/>
      <c r="AR82"/>
    </row>
    <row r="83" spans="1:4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K83"/>
      <c r="AL83"/>
      <c r="AM83"/>
      <c r="AN83"/>
      <c r="AO83"/>
      <c r="AP83"/>
      <c r="AQ83"/>
      <c r="AR83"/>
    </row>
    <row r="84" spans="1:4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K84"/>
      <c r="AL84"/>
      <c r="AM84"/>
      <c r="AN84"/>
      <c r="AO84"/>
      <c r="AP84"/>
      <c r="AQ84"/>
      <c r="AR84"/>
    </row>
    <row r="85" spans="1:4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K85"/>
      <c r="AL85"/>
      <c r="AM85"/>
      <c r="AN85"/>
      <c r="AO85"/>
      <c r="AP85"/>
      <c r="AQ85"/>
      <c r="AR85"/>
    </row>
    <row r="86" spans="1:4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K86"/>
      <c r="AL86"/>
      <c r="AM86"/>
      <c r="AN86"/>
      <c r="AO86"/>
      <c r="AP86"/>
      <c r="AQ86"/>
      <c r="AR86"/>
    </row>
    <row r="87" spans="1:4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K87"/>
      <c r="AL87"/>
      <c r="AM87"/>
      <c r="AN87"/>
      <c r="AO87"/>
      <c r="AP87"/>
      <c r="AQ87"/>
      <c r="AR87"/>
    </row>
    <row r="88" spans="1:4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K88"/>
      <c r="AL88"/>
      <c r="AM88"/>
      <c r="AN88"/>
      <c r="AO88"/>
      <c r="AP88"/>
      <c r="AQ88"/>
      <c r="AR88"/>
    </row>
    <row r="89" spans="1:4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K89"/>
      <c r="AL89"/>
      <c r="AM89"/>
      <c r="AN89"/>
      <c r="AO89"/>
      <c r="AP89"/>
      <c r="AQ89"/>
      <c r="AR89"/>
    </row>
    <row r="90" spans="1:4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K90"/>
      <c r="AL90"/>
      <c r="AM90"/>
      <c r="AN90"/>
      <c r="AO90"/>
      <c r="AP90"/>
      <c r="AQ90"/>
      <c r="AR90"/>
    </row>
    <row r="91" spans="1:4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K91"/>
      <c r="AL91"/>
      <c r="AM91"/>
      <c r="AN91"/>
      <c r="AO91"/>
      <c r="AP91"/>
      <c r="AQ91"/>
      <c r="AR91"/>
    </row>
    <row r="92" spans="1:4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K92"/>
      <c r="AL92"/>
      <c r="AM92"/>
      <c r="AN92"/>
      <c r="AO92"/>
      <c r="AP92"/>
      <c r="AQ92"/>
      <c r="AR92"/>
    </row>
    <row r="93" spans="1:4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K93"/>
      <c r="AL93"/>
      <c r="AM93"/>
      <c r="AN93"/>
      <c r="AO93"/>
      <c r="AP93"/>
      <c r="AQ93"/>
      <c r="AR93"/>
    </row>
    <row r="94" spans="1:4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K94"/>
      <c r="AL94"/>
      <c r="AM94"/>
      <c r="AN94"/>
      <c r="AO94"/>
      <c r="AP94"/>
      <c r="AQ94"/>
      <c r="AR94"/>
    </row>
    <row r="95" spans="1:4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K95"/>
      <c r="AL95"/>
      <c r="AM95"/>
      <c r="AN95"/>
      <c r="AO95"/>
      <c r="AP95"/>
      <c r="AQ95"/>
      <c r="AR95"/>
    </row>
    <row r="96" spans="1:4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K96"/>
      <c r="AL96"/>
      <c r="AM96"/>
      <c r="AN96"/>
      <c r="AO96"/>
      <c r="AP96"/>
      <c r="AQ96"/>
      <c r="AR96"/>
    </row>
    <row r="97" spans="1:4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K97"/>
      <c r="AL97"/>
      <c r="AM97"/>
      <c r="AN97"/>
      <c r="AO97"/>
      <c r="AP97"/>
      <c r="AQ97"/>
      <c r="AR97"/>
    </row>
    <row r="98" spans="1:4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K315"/>
      <c r="AL315"/>
      <c r="AM315"/>
      <c r="AN315"/>
      <c r="AO315"/>
      <c r="AP315"/>
      <c r="AQ315"/>
      <c r="AR315"/>
    </row>
    <row r="316" spans="1:44" x14ac:dyDescent="0.25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K316"/>
      <c r="AL316"/>
      <c r="AM316"/>
    </row>
    <row r="317" spans="1:44" x14ac:dyDescent="0.25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K317"/>
      <c r="AL317"/>
      <c r="AM317"/>
    </row>
    <row r="318" spans="1:44" x14ac:dyDescent="0.25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K318"/>
      <c r="AL318"/>
      <c r="AM318"/>
    </row>
    <row r="319" spans="1:44" x14ac:dyDescent="0.25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K319"/>
      <c r="AL319"/>
      <c r="AM319"/>
    </row>
    <row r="320" spans="1:44" x14ac:dyDescent="0.25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K320"/>
      <c r="AL320"/>
      <c r="AM320"/>
    </row>
    <row r="321" spans="1:39" x14ac:dyDescent="0.25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K321"/>
      <c r="AL321"/>
      <c r="AM321"/>
    </row>
    <row r="322" spans="1:39" x14ac:dyDescent="0.25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9" x14ac:dyDescent="0.25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9" x14ac:dyDescent="0.25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9" x14ac:dyDescent="0.25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9" x14ac:dyDescent="0.25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9" x14ac:dyDescent="0.25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9" x14ac:dyDescent="0.25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9" x14ac:dyDescent="0.25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9" x14ac:dyDescent="0.25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9" x14ac:dyDescent="0.25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</sheetData>
  <pageMargins left="0.7" right="0.7" top="0.75" bottom="0.75" header="0.3" footer="0.3"/>
  <pageSetup orientation="portrait" horizontalDpi="0" verticalDpi="0" r:id="rId1"/>
  <drawing r:id="rId2"/>
  <legacyDrawing r:id="rId3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R324"/>
  <sheetViews>
    <sheetView topLeftCell="P1" zoomScale="85" zoomScaleNormal="85" workbookViewId="0">
      <selection activeCell="T5" sqref="T5:T6"/>
    </sheetView>
  </sheetViews>
  <sheetFormatPr defaultRowHeight="15" x14ac:dyDescent="0.25"/>
  <cols>
    <col min="1" max="1" width="15" style="140" customWidth="1"/>
    <col min="2" max="2" width="8.28515625" style="2" customWidth="1"/>
    <col min="3" max="3" width="7.42578125" style="2" customWidth="1"/>
    <col min="4" max="4" width="9.42578125" style="188" customWidth="1"/>
    <col min="5" max="5" width="10.85546875" style="188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7.7109375" style="2" customWidth="1"/>
    <col min="11" max="11" width="8.85546875" style="2" customWidth="1"/>
    <col min="12" max="12" width="8.42578125" style="2" customWidth="1"/>
    <col min="13" max="17" width="10" style="2" customWidth="1"/>
    <col min="18" max="24" width="14.710937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customWidth="1"/>
    <col min="37" max="37" width="13.5703125" style="2" customWidth="1"/>
    <col min="38" max="38" width="12.42578125" style="1" customWidth="1"/>
    <col min="39" max="39" width="9.140625" style="1"/>
    <col min="40" max="16384" width="9.140625" style="2"/>
  </cols>
  <sheetData>
    <row r="1" spans="1:39" ht="80.25" customHeight="1" x14ac:dyDescent="0.25">
      <c r="A1" s="231" t="s">
        <v>59</v>
      </c>
      <c r="B1" s="74" t="s">
        <v>57</v>
      </c>
      <c r="C1" s="74" t="s">
        <v>58</v>
      </c>
      <c r="D1" s="273" t="s">
        <v>194</v>
      </c>
      <c r="E1" s="274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t="s">
        <v>50</v>
      </c>
      <c r="AK1" s="1" t="s">
        <v>75</v>
      </c>
      <c r="AL1" s="1" t="s">
        <v>80</v>
      </c>
      <c r="AM1" s="1" t="s">
        <v>89</v>
      </c>
    </row>
    <row r="2" spans="1:39" x14ac:dyDescent="0.25">
      <c r="A2" s="143" t="s">
        <v>186</v>
      </c>
      <c r="B2" s="185">
        <v>1</v>
      </c>
      <c r="C2" s="185">
        <v>1</v>
      </c>
      <c r="D2" s="275">
        <f>Table1123457913[[#This Row],[a (mm)]]/Table1123457913[[#This Row],[d (mm)]]</f>
        <v>2.5945945945945947</v>
      </c>
      <c r="E2" s="275">
        <f>277/2</f>
        <v>138.5</v>
      </c>
      <c r="F2" s="137">
        <f>Table1123457913[[#This Row],[d (mm)]]</f>
        <v>925</v>
      </c>
      <c r="G2" s="111">
        <f>E2*Y2</f>
        <v>332400</v>
      </c>
      <c r="H2" s="111">
        <f t="shared" ref="H2:H36" si="0">G2/($AL$5*AH2*0.001)</f>
        <v>5.0484530818408127E-7</v>
      </c>
      <c r="I2" s="111">
        <f>G2/(Table1123457913[[#This Row],[b (mm)]]*Z2^2)</f>
        <v>1.2949598246895543E-3</v>
      </c>
      <c r="J2" s="111">
        <f t="shared" ref="J2:J36" si="1">G2/(AD2*AF2*Z2*0.001)</f>
        <v>0.23281590628529403</v>
      </c>
      <c r="K2" s="111">
        <f t="shared" ref="K2:K35" si="2">E2/($AL$4*AG2*0.001)</f>
        <v>4.9015453429556909E-7</v>
      </c>
      <c r="L2" s="111">
        <f>E2/(Table1123457913[[#This Row],[b (mm)]]*Z2)</f>
        <v>4.9909909909909907E-4</v>
      </c>
      <c r="M2" s="111">
        <f>Table1123457913[[#This Row],[M (KN.mm)]]/(Table1123457913[[#This Row],[b (mm)]]*Table1123457913[[#This Row],[d (mm)]])</f>
        <v>1.1978378378378378</v>
      </c>
      <c r="N2" s="111">
        <f>Table1123457913[[#This Row],[M (KN.mm)]]/(Table1123457913[[#This Row],[b (mm)]]*Table1123457913[[#This Row],[h (mm)]])</f>
        <v>1.1080000000000001</v>
      </c>
      <c r="O2" s="111">
        <f>Table1123457913[[#This Row],[M (KN.mm)]]/(Table1123457913[[#This Row],[b (mm)]]*Table1123457913[[#This Row],[h (mm)]]*Table1123457913[[#This Row],[L(mm)]])</f>
        <v>2.3083333333333332E-4</v>
      </c>
      <c r="P2" s="111">
        <f>Table1123457913[[#This Row],[M (KN.mm)]]/(Table1123457913[[#This Row],[b (mm)]]*Table1123457913[[#This Row],[d (mm)]]*Table1123457913[[#This Row],[L(mm)]])</f>
        <v>2.4954954954954954E-4</v>
      </c>
      <c r="Q2" s="111">
        <f>Table1123457913[[#This Row],[M (KN.mm)]]/(Table1123457913[[#This Row],[b (mm)]]*Table1123457913[[#This Row],[h (mm)]]*Table1123457913[[#This Row],[L(mm)]]*Table1123457913[[#This Row],[fc (Mpa)]])</f>
        <v>3.6067708333333332E-6</v>
      </c>
      <c r="R2" s="111">
        <f>Table1123457913[[#This Row],[M (KN.mm)]]/(Table1123457913[[#This Row],[b (mm)]]*Table1123457913[[#This Row],[h (mm)]]*Table1123457913[[#This Row],[L(mm)]]/2)</f>
        <v>4.6166666666666665E-4</v>
      </c>
      <c r="S2" s="111">
        <f>Table1123457913[[#This Row],[M (KN.mm)]]/(Table1123457913[[#This Row],[a (mm)]]*Table1123457913[[#This Row],[b (mm)]]*Table1123457913[[#This Row],[h (mm)]]*Table1123457913[[#This Row],[L(mm)]]/2)</f>
        <v>1.923611111111111E-7</v>
      </c>
      <c r="T2" s="111">
        <f>G2/($AL$5*AH2*0.001*Table1123457913[[#This Row],[pho (%)]])</f>
        <v>5.1514827365722582E-7</v>
      </c>
      <c r="U2" s="111">
        <f>Table1123457913[[#This Row],[M (KN.mm)]]/(Table1123457913[[#This Row],[b (mm)]]*Table1123457913[[#This Row],[d (mm)]]*Table1123457913[[#This Row],[pho (%)]])</f>
        <v>1.2222835079977936</v>
      </c>
      <c r="V2" s="111">
        <f>E2*224.8/(2*SQRT(Table1123457913[[#This Row],[fc (Mpa)]]*145.037)*Table1123457913[[#This Row],[b (mm)]]*Table1123457913[[#This Row],[d (mm)]]*(1/25.4)^2)</f>
        <v>0.3756567002706418</v>
      </c>
      <c r="W2" s="111">
        <f>Table1123457913[[#This Row],[M (KN.mm)]]/$G$7</f>
        <v>0.3923512747875354</v>
      </c>
      <c r="X2" s="111">
        <f>V2</f>
        <v>0.3756567002706418</v>
      </c>
      <c r="Y2" s="111">
        <f t="shared" ref="Y2:Y7" si="3">4800/2</f>
        <v>2400</v>
      </c>
      <c r="Z2" s="111">
        <v>925</v>
      </c>
      <c r="AA2" s="111">
        <v>1000</v>
      </c>
      <c r="AB2" s="111">
        <v>300</v>
      </c>
      <c r="AC2" s="7">
        <v>64</v>
      </c>
      <c r="AD2" s="111">
        <f>Table1123457913[[#This Row],[pho (%)]]*Table1123457913[[#This Row],[b (mm)]]*Table1123457913[[#This Row],[h (mm)]]/100</f>
        <v>2940</v>
      </c>
      <c r="AE2" s="111">
        <f t="shared" ref="AE2:AE36" si="4">0.76+0.22</f>
        <v>0.98</v>
      </c>
      <c r="AF2" s="111">
        <v>525</v>
      </c>
      <c r="AG2" s="111">
        <f>(1/3-0.21*(MIN(Table1123457913[[#This Row],[b (mm)]],AA2)/MAX(Table1123457913[[#This Row],[b (mm)]],AA2))*(MIN(Table1123457913[[#This Row],[b (mm)]],AA2)^4/(12*MAX(Table1123457913[[#This Row],[b (mm)]],AA2)^4)))*MAX(Table1123457913[[#This Row],[b (mm)]],AA2)*MIN(Table1123457913[[#This Row],[b (mm)]],AA2)^3</f>
        <v>8998851825</v>
      </c>
      <c r="AH2" s="111">
        <f>Table1123457913[[#This Row],[b (mm)]]*AA2^3/12</f>
        <v>25000000000</v>
      </c>
      <c r="AI2" s="111">
        <v>4800</v>
      </c>
      <c r="AK2" s="1"/>
    </row>
    <row r="3" spans="1:39" x14ac:dyDescent="0.25">
      <c r="A3" s="143" t="s">
        <v>186</v>
      </c>
      <c r="B3" s="185">
        <v>2</v>
      </c>
      <c r="C3" s="185">
        <v>2</v>
      </c>
      <c r="D3" s="275">
        <f>Table1123457913[[#This Row],[a (mm)]]/Table1123457913[[#This Row],[d (mm)]]</f>
        <v>2.5945945945945947</v>
      </c>
      <c r="E3" s="275">
        <f>402.6/2</f>
        <v>201.3</v>
      </c>
      <c r="F3" s="137">
        <f>Table1123457913[[#This Row],[d (mm)]]</f>
        <v>925</v>
      </c>
      <c r="G3" s="111">
        <f t="shared" ref="G3:G35" si="5">E3*Y3</f>
        <v>483120</v>
      </c>
      <c r="H3" s="111">
        <f t="shared" si="0"/>
        <v>7.3375711579390296E-7</v>
      </c>
      <c r="I3" s="111">
        <f>G3/(Table1123457913[[#This Row],[b (mm)]]*Z3^2)</f>
        <v>1.8821329437545653E-3</v>
      </c>
      <c r="J3" s="111">
        <f t="shared" si="1"/>
        <v>0.33838153021826489</v>
      </c>
      <c r="K3" s="111">
        <f t="shared" si="2"/>
        <v>7.1240511013500409E-7</v>
      </c>
      <c r="L3" s="111">
        <f>E3/(Table1123457913[[#This Row],[b (mm)]]*Z3)</f>
        <v>7.2540540540540546E-4</v>
      </c>
      <c r="M3" s="111">
        <f>Table1123457913[[#This Row],[M (KN.mm)]]/(Table1123457913[[#This Row],[b (mm)]]*Table1123457913[[#This Row],[d (mm)]])</f>
        <v>1.740972972972973</v>
      </c>
      <c r="N3" s="111">
        <f>Table1123457913[[#This Row],[M (KN.mm)]]/(Table1123457913[[#This Row],[b (mm)]]*Table1123457913[[#This Row],[h (mm)]])</f>
        <v>1.6104000000000001</v>
      </c>
      <c r="O3" s="111">
        <f>Table1123457913[[#This Row],[M (KN.mm)]]/(Table1123457913[[#This Row],[b (mm)]]*Table1123457913[[#This Row],[h (mm)]]*Table1123457913[[#This Row],[L(mm)]])</f>
        <v>3.3550000000000002E-4</v>
      </c>
      <c r="P3" s="111">
        <f>Table1123457913[[#This Row],[M (KN.mm)]]/(Table1123457913[[#This Row],[b (mm)]]*Table1123457913[[#This Row],[d (mm)]]*Table1123457913[[#This Row],[L(mm)]])</f>
        <v>3.6270270270270268E-4</v>
      </c>
      <c r="Q3" s="111">
        <f>Table1123457913[[#This Row],[M (KN.mm)]]/(Table1123457913[[#This Row],[b (mm)]]*Table1123457913[[#This Row],[h (mm)]]*Table1123457913[[#This Row],[L(mm)]]*Table1123457913[[#This Row],[fc (Mpa)]])</f>
        <v>5.2421875000000004E-6</v>
      </c>
      <c r="R3" s="111">
        <f>Table1123457913[[#This Row],[M (KN.mm)]]/(Table1123457913[[#This Row],[b (mm)]]*Table1123457913[[#This Row],[h (mm)]]*Table1123457913[[#This Row],[L(mm)]]/2)</f>
        <v>6.7100000000000005E-4</v>
      </c>
      <c r="S3" s="111">
        <f>Table1123457913[[#This Row],[M (KN.mm)]]/(Table1123457913[[#This Row],[a (mm)]]*Table1123457913[[#This Row],[b (mm)]]*Table1123457913[[#This Row],[h (mm)]]*Table1123457913[[#This Row],[L(mm)]]/2)</f>
        <v>2.7958333333333334E-7</v>
      </c>
      <c r="T3" s="111">
        <f>G3/($AL$5*AH3*0.001*Table1123457913[[#This Row],[pho (%)]])</f>
        <v>7.4873175081010507E-7</v>
      </c>
      <c r="U3" s="111">
        <f>Table1123457913[[#This Row],[M (KN.mm)]]/(Table1123457913[[#This Row],[b (mm)]]*Table1123457913[[#This Row],[d (mm)]]*Table1123457913[[#This Row],[pho (%)]])</f>
        <v>1.7765030336458907</v>
      </c>
      <c r="V3" s="111">
        <f>E3*224.8/(2*SQRT(Table1123457913[[#This Row],[fc (Mpa)]]*145.037)*Table1123457913[[#This Row],[b (mm)]]*Table1123457913[[#This Row],[d (mm)]]*(1/25.4)^2)</f>
        <v>0.54599056869660789</v>
      </c>
      <c r="W3" s="111">
        <f>Table1123457913[[#This Row],[M (KN.mm)]]/$G$7</f>
        <v>0.57025495750708211</v>
      </c>
      <c r="X3" s="111">
        <f t="shared" ref="X3:X35" si="6">V3</f>
        <v>0.54599056869660789</v>
      </c>
      <c r="Y3" s="111">
        <f t="shared" si="3"/>
        <v>2400</v>
      </c>
      <c r="Z3" s="111">
        <v>925</v>
      </c>
      <c r="AA3" s="111">
        <v>1000</v>
      </c>
      <c r="AB3" s="111">
        <v>300</v>
      </c>
      <c r="AC3" s="7">
        <v>64</v>
      </c>
      <c r="AD3" s="111">
        <f>Table1123457913[[#This Row],[pho (%)]]*Table1123457913[[#This Row],[b (mm)]]*Table1123457913[[#This Row],[h (mm)]]/100</f>
        <v>2940</v>
      </c>
      <c r="AE3" s="111">
        <f t="shared" si="4"/>
        <v>0.98</v>
      </c>
      <c r="AF3" s="111">
        <v>525</v>
      </c>
      <c r="AG3" s="111">
        <f>(1/3-0.21*(MIN(Table1123457913[[#This Row],[b (mm)]],AA3)/MAX(Table1123457913[[#This Row],[b (mm)]],AA3))*(MIN(Table1123457913[[#This Row],[b (mm)]],AA3)^4/(12*MAX(Table1123457913[[#This Row],[b (mm)]],AA3)^4)))*MAX(Table1123457913[[#This Row],[b (mm)]],AA3)*MIN(Table1123457913[[#This Row],[b (mm)]],AA3)^3</f>
        <v>8998851825</v>
      </c>
      <c r="AH3" s="111">
        <f>Table1123457913[[#This Row],[b (mm)]]*AA3^3/12</f>
        <v>25000000000</v>
      </c>
      <c r="AI3" s="111">
        <v>4800</v>
      </c>
      <c r="AK3" s="1"/>
    </row>
    <row r="4" spans="1:39" x14ac:dyDescent="0.25">
      <c r="A4" s="143" t="s">
        <v>186</v>
      </c>
      <c r="B4" s="185">
        <v>3</v>
      </c>
      <c r="C4" s="185">
        <v>3</v>
      </c>
      <c r="D4" s="275">
        <f>Table1123457913[[#This Row],[a (mm)]]/Table1123457913[[#This Row],[d (mm)]]</f>
        <v>2.5945945945945947</v>
      </c>
      <c r="E4" s="275">
        <f>507/2</f>
        <v>253.5</v>
      </c>
      <c r="F4" s="137">
        <f>Table1123457913[[#This Row],[d (mm)]]</f>
        <v>925</v>
      </c>
      <c r="G4" s="111">
        <f t="shared" si="5"/>
        <v>608400</v>
      </c>
      <c r="H4" s="111">
        <f t="shared" si="0"/>
        <v>9.2403094313837265E-7</v>
      </c>
      <c r="I4" s="111">
        <f>G4/(Table1123457913[[#This Row],[b (mm)]]*Z4^2)</f>
        <v>2.3701972242512782E-3</v>
      </c>
      <c r="J4" s="111">
        <f t="shared" si="1"/>
        <v>0.4261287526593649</v>
      </c>
      <c r="K4" s="111">
        <f t="shared" si="2"/>
        <v>8.9714205374676366E-7</v>
      </c>
      <c r="L4" s="111">
        <f>E4/(Table1123457913[[#This Row],[b (mm)]]*Z4)</f>
        <v>9.1351351351351352E-4</v>
      </c>
      <c r="M4" s="111">
        <f>Table1123457913[[#This Row],[M (KN.mm)]]/(Table1123457913[[#This Row],[b (mm)]]*Table1123457913[[#This Row],[d (mm)]])</f>
        <v>2.1924324324324322</v>
      </c>
      <c r="N4" s="111">
        <f>Table1123457913[[#This Row],[M (KN.mm)]]/(Table1123457913[[#This Row],[b (mm)]]*Table1123457913[[#This Row],[h (mm)]])</f>
        <v>2.028</v>
      </c>
      <c r="O4" s="111">
        <f>Table1123457913[[#This Row],[M (KN.mm)]]/(Table1123457913[[#This Row],[b (mm)]]*Table1123457913[[#This Row],[h (mm)]]*Table1123457913[[#This Row],[L(mm)]])</f>
        <v>4.2250000000000002E-4</v>
      </c>
      <c r="P4" s="111">
        <f>Table1123457913[[#This Row],[M (KN.mm)]]/(Table1123457913[[#This Row],[b (mm)]]*Table1123457913[[#This Row],[d (mm)]]*Table1123457913[[#This Row],[L(mm)]])</f>
        <v>4.5675675675675676E-4</v>
      </c>
      <c r="Q4" s="111">
        <f>Table1123457913[[#This Row],[M (KN.mm)]]/(Table1123457913[[#This Row],[b (mm)]]*Table1123457913[[#This Row],[h (mm)]]*Table1123457913[[#This Row],[L(mm)]]*Table1123457913[[#This Row],[fc (Mpa)]])</f>
        <v>6.6015625000000004E-6</v>
      </c>
      <c r="R4" s="111">
        <f>Table1123457913[[#This Row],[M (KN.mm)]]/(Table1123457913[[#This Row],[b (mm)]]*Table1123457913[[#This Row],[h (mm)]]*Table1123457913[[#This Row],[L(mm)]]/2)</f>
        <v>8.4500000000000005E-4</v>
      </c>
      <c r="S4" s="111">
        <f>Table1123457913[[#This Row],[M (KN.mm)]]/(Table1123457913[[#This Row],[a (mm)]]*Table1123457913[[#This Row],[b (mm)]]*Table1123457913[[#This Row],[h (mm)]]*Table1123457913[[#This Row],[L(mm)]]/2)</f>
        <v>3.5208333333333333E-7</v>
      </c>
      <c r="T4" s="111">
        <f>G4/($AL$5*AH4*0.001*Table1123457913[[#This Row],[pho (%)]])</f>
        <v>9.4288871748813529E-7</v>
      </c>
      <c r="U4" s="111">
        <f>Table1123457913[[#This Row],[M (KN.mm)]]/(Table1123457913[[#This Row],[b (mm)]]*Table1123457913[[#This Row],[d (mm)]]*Table1123457913[[#This Row],[pho (%)]])</f>
        <v>2.2371759514616656</v>
      </c>
      <c r="V4" s="111">
        <f>E4*224.8/(2*SQRT(Table1123457913[[#This Row],[fc (Mpa)]]*145.037)*Table1123457913[[#This Row],[b (mm)]]*Table1123457913[[#This Row],[d (mm)]]*(1/25.4)^2)</f>
        <v>0.68757381601882805</v>
      </c>
      <c r="W4" s="111">
        <f>Table1123457913[[#This Row],[M (KN.mm)]]/$G$7</f>
        <v>0.71813031161473084</v>
      </c>
      <c r="X4" s="111">
        <f t="shared" si="6"/>
        <v>0.68757381601882805</v>
      </c>
      <c r="Y4" s="111">
        <f t="shared" si="3"/>
        <v>2400</v>
      </c>
      <c r="Z4" s="111">
        <v>925</v>
      </c>
      <c r="AA4" s="111">
        <v>1000</v>
      </c>
      <c r="AB4" s="111">
        <v>300</v>
      </c>
      <c r="AC4" s="7">
        <v>64</v>
      </c>
      <c r="AD4" s="111">
        <f>Table1123457913[[#This Row],[pho (%)]]*Table1123457913[[#This Row],[b (mm)]]*Table1123457913[[#This Row],[h (mm)]]/100</f>
        <v>2940</v>
      </c>
      <c r="AE4" s="111">
        <f t="shared" si="4"/>
        <v>0.98</v>
      </c>
      <c r="AF4" s="111">
        <v>525</v>
      </c>
      <c r="AG4" s="111">
        <f>(1/3-0.21*(MIN(Table1123457913[[#This Row],[b (mm)]],AA4)/MAX(Table1123457913[[#This Row],[b (mm)]],AA4))*(MIN(Table1123457913[[#This Row],[b (mm)]],AA4)^4/(12*MAX(Table1123457913[[#This Row],[b (mm)]],AA4)^4)))*MAX(Table1123457913[[#This Row],[b (mm)]],AA4)*MIN(Table1123457913[[#This Row],[b (mm)]],AA4)^3</f>
        <v>8998851825</v>
      </c>
      <c r="AH4" s="111">
        <f>Table1123457913[[#This Row],[b (mm)]]*AA4^3/12</f>
        <v>25000000000</v>
      </c>
      <c r="AI4" s="111">
        <v>4800</v>
      </c>
      <c r="AK4" s="126" t="s">
        <v>7</v>
      </c>
      <c r="AL4" s="107">
        <v>31.4</v>
      </c>
    </row>
    <row r="5" spans="1:39" x14ac:dyDescent="0.25">
      <c r="A5" s="143" t="s">
        <v>186</v>
      </c>
      <c r="B5" s="185">
        <v>4</v>
      </c>
      <c r="C5" s="185">
        <v>4</v>
      </c>
      <c r="D5" s="275">
        <f>Table1123457913[[#This Row],[a (mm)]]/Table1123457913[[#This Row],[d (mm)]]</f>
        <v>2.5945945945945947</v>
      </c>
      <c r="E5" s="275">
        <f>597/2</f>
        <v>298.5</v>
      </c>
      <c r="F5" s="137">
        <f>Table1123457913[[#This Row],[d (mm)]]</f>
        <v>925</v>
      </c>
      <c r="G5" s="111">
        <f t="shared" si="5"/>
        <v>716400</v>
      </c>
      <c r="H5" s="111">
        <f t="shared" si="0"/>
        <v>1.0880601046422258E-6</v>
      </c>
      <c r="I5" s="111">
        <f>G5/(Table1123457913[[#This Row],[b (mm)]]*Z5^2)</f>
        <v>2.7909422936449962E-3</v>
      </c>
      <c r="J5" s="111">
        <f t="shared" si="1"/>
        <v>0.50177290993617529</v>
      </c>
      <c r="K5" s="111">
        <f t="shared" si="2"/>
        <v>1.0563980396189701E-6</v>
      </c>
      <c r="L5" s="111">
        <f>E5/(Table1123457913[[#This Row],[b (mm)]]*Z5)</f>
        <v>1.0756756756756757E-3</v>
      </c>
      <c r="M5" s="111">
        <f>Table1123457913[[#This Row],[M (KN.mm)]]/(Table1123457913[[#This Row],[b (mm)]]*Table1123457913[[#This Row],[d (mm)]])</f>
        <v>2.5816216216216215</v>
      </c>
      <c r="N5" s="111">
        <f>Table1123457913[[#This Row],[M (KN.mm)]]/(Table1123457913[[#This Row],[b (mm)]]*Table1123457913[[#This Row],[h (mm)]])</f>
        <v>2.3879999999999999</v>
      </c>
      <c r="O5" s="111">
        <f>Table1123457913[[#This Row],[M (KN.mm)]]/(Table1123457913[[#This Row],[b (mm)]]*Table1123457913[[#This Row],[h (mm)]]*Table1123457913[[#This Row],[L(mm)]])</f>
        <v>4.975E-4</v>
      </c>
      <c r="P5" s="111">
        <f>Table1123457913[[#This Row],[M (KN.mm)]]/(Table1123457913[[#This Row],[b (mm)]]*Table1123457913[[#This Row],[d (mm)]]*Table1123457913[[#This Row],[L(mm)]])</f>
        <v>5.3783783783783784E-4</v>
      </c>
      <c r="Q5" s="111">
        <f>Table1123457913[[#This Row],[M (KN.mm)]]/(Table1123457913[[#This Row],[b (mm)]]*Table1123457913[[#This Row],[h (mm)]]*Table1123457913[[#This Row],[L(mm)]]*Table1123457913[[#This Row],[fc (Mpa)]])</f>
        <v>7.7734375000000001E-6</v>
      </c>
      <c r="R5" s="111">
        <f>Table1123457913[[#This Row],[M (KN.mm)]]/(Table1123457913[[#This Row],[b (mm)]]*Table1123457913[[#This Row],[h (mm)]]*Table1123457913[[#This Row],[L(mm)]]/2)</f>
        <v>9.9500000000000001E-4</v>
      </c>
      <c r="S5" s="111">
        <f>Table1123457913[[#This Row],[M (KN.mm)]]/(Table1123457913[[#This Row],[a (mm)]]*Table1123457913[[#This Row],[b (mm)]]*Table1123457913[[#This Row],[h (mm)]]*Table1123457913[[#This Row],[L(mm)]]/2)</f>
        <v>4.1458333333333332E-7</v>
      </c>
      <c r="T5" s="111">
        <f>G5/($AL$5*AH5*0.001*Table1123457913[[#This Row],[pho (%)]])</f>
        <v>1.1102654129002303E-6</v>
      </c>
      <c r="U5" s="111">
        <f>Table1123457913[[#This Row],[M (KN.mm)]]/(Table1123457913[[#This Row],[b (mm)]]*Table1123457913[[#This Row],[d (mm)]]*Table1123457913[[#This Row],[pho (%)]])</f>
        <v>2.6343077771649202</v>
      </c>
      <c r="V5" s="111">
        <f>E5*224.8/(2*SQRT(Table1123457913[[#This Row],[fc (Mpa)]]*145.037)*Table1123457913[[#This Row],[b (mm)]]*Table1123457913[[#This Row],[d (mm)]]*(1/25.4)^2)</f>
        <v>0.80962833957246616</v>
      </c>
      <c r="W5" s="111">
        <f>Table1123457913[[#This Row],[M (KN.mm)]]/$G$7</f>
        <v>0.84560906515580736</v>
      </c>
      <c r="X5" s="111">
        <f t="shared" si="6"/>
        <v>0.80962833957246616</v>
      </c>
      <c r="Y5" s="111">
        <f t="shared" si="3"/>
        <v>2400</v>
      </c>
      <c r="Z5" s="111">
        <v>925</v>
      </c>
      <c r="AA5" s="111">
        <v>1000</v>
      </c>
      <c r="AB5" s="111">
        <v>300</v>
      </c>
      <c r="AC5" s="7">
        <v>64</v>
      </c>
      <c r="AD5" s="111">
        <f>Table1123457913[[#This Row],[pho (%)]]*Table1123457913[[#This Row],[b (mm)]]*Table1123457913[[#This Row],[h (mm)]]/100</f>
        <v>2940</v>
      </c>
      <c r="AE5" s="111">
        <f t="shared" si="4"/>
        <v>0.98</v>
      </c>
      <c r="AF5" s="111">
        <v>525</v>
      </c>
      <c r="AG5" s="111">
        <f>(1/3-0.21*(MIN(Table1123457913[[#This Row],[b (mm)]],AA5)/MAX(Table1123457913[[#This Row],[b (mm)]],AA5))*(MIN(Table1123457913[[#This Row],[b (mm)]],AA5)^4/(12*MAX(Table1123457913[[#This Row],[b (mm)]],AA5)^4)))*MAX(Table1123457913[[#This Row],[b (mm)]],AA5)*MIN(Table1123457913[[#This Row],[b (mm)]],AA5)^3</f>
        <v>8998851825</v>
      </c>
      <c r="AH5" s="111">
        <f>Table1123457913[[#This Row],[b (mm)]]*AA5^3/12</f>
        <v>25000000000</v>
      </c>
      <c r="AI5" s="111">
        <v>4800</v>
      </c>
      <c r="AK5" s="126" t="s">
        <v>8</v>
      </c>
      <c r="AL5" s="107">
        <f>4700*SQRT(AL4)</f>
        <v>26336.780365109171</v>
      </c>
    </row>
    <row r="6" spans="1:39" x14ac:dyDescent="0.25">
      <c r="A6" s="143" t="s">
        <v>186</v>
      </c>
      <c r="B6" s="185">
        <v>5</v>
      </c>
      <c r="C6" s="185">
        <v>5</v>
      </c>
      <c r="D6" s="275">
        <f>Table1123457913[[#This Row],[a (mm)]]/Table1123457913[[#This Row],[d (mm)]]</f>
        <v>2.5945945945945947</v>
      </c>
      <c r="E6" s="275">
        <f>678/2</f>
        <v>339</v>
      </c>
      <c r="F6" s="137">
        <f>Table1123457913[[#This Row],[d (mm)]]</f>
        <v>925</v>
      </c>
      <c r="G6" s="111">
        <f t="shared" si="5"/>
        <v>813600</v>
      </c>
      <c r="H6" s="111">
        <f t="shared" si="0"/>
        <v>1.2356863499956936E-6</v>
      </c>
      <c r="I6" s="111">
        <f>G6/(Table1123457913[[#This Row],[b (mm)]]*Z6^2)</f>
        <v>3.1696128560993425E-3</v>
      </c>
      <c r="J6" s="111">
        <f t="shared" si="1"/>
        <v>0.56985265148530451</v>
      </c>
      <c r="K6" s="111">
        <f t="shared" si="2"/>
        <v>1.199728426903956E-6</v>
      </c>
      <c r="L6" s="111">
        <f>E6/(Table1123457913[[#This Row],[b (mm)]]*Z6)</f>
        <v>1.2216216216216216E-3</v>
      </c>
      <c r="M6" s="111">
        <f>Table1123457913[[#This Row],[M (KN.mm)]]/(Table1123457913[[#This Row],[b (mm)]]*Table1123457913[[#This Row],[d (mm)]])</f>
        <v>2.9318918918918917</v>
      </c>
      <c r="N6" s="111">
        <f>Table1123457913[[#This Row],[M (KN.mm)]]/(Table1123457913[[#This Row],[b (mm)]]*Table1123457913[[#This Row],[h (mm)]])</f>
        <v>2.7120000000000002</v>
      </c>
      <c r="O6" s="111">
        <f>Table1123457913[[#This Row],[M (KN.mm)]]/(Table1123457913[[#This Row],[b (mm)]]*Table1123457913[[#This Row],[h (mm)]]*Table1123457913[[#This Row],[L(mm)]])</f>
        <v>5.6499999999999996E-4</v>
      </c>
      <c r="P6" s="111">
        <f>Table1123457913[[#This Row],[M (KN.mm)]]/(Table1123457913[[#This Row],[b (mm)]]*Table1123457913[[#This Row],[d (mm)]]*Table1123457913[[#This Row],[L(mm)]])</f>
        <v>6.1081081081081079E-4</v>
      </c>
      <c r="Q6" s="111">
        <f>Table1123457913[[#This Row],[M (KN.mm)]]/(Table1123457913[[#This Row],[b (mm)]]*Table1123457913[[#This Row],[h (mm)]]*Table1123457913[[#This Row],[L(mm)]]*Table1123457913[[#This Row],[fc (Mpa)]])</f>
        <v>8.8281249999999994E-6</v>
      </c>
      <c r="R6" s="111">
        <f>Table1123457913[[#This Row],[M (KN.mm)]]/(Table1123457913[[#This Row],[b (mm)]]*Table1123457913[[#This Row],[h (mm)]]*Table1123457913[[#This Row],[L(mm)]]/2)</f>
        <v>1.1299999999999999E-3</v>
      </c>
      <c r="S6" s="111">
        <f>Table1123457913[[#This Row],[M (KN.mm)]]/(Table1123457913[[#This Row],[a (mm)]]*Table1123457913[[#This Row],[b (mm)]]*Table1123457913[[#This Row],[h (mm)]]*Table1123457913[[#This Row],[L(mm)]]/2)</f>
        <v>4.7083333333333331E-7</v>
      </c>
      <c r="T6" s="111">
        <f>G6/($AL$5*AH6*0.001*Table1123457913[[#This Row],[pho (%)]])</f>
        <v>1.2609044387711158E-6</v>
      </c>
      <c r="U6" s="111">
        <f>Table1123457913[[#This Row],[M (KN.mm)]]/(Table1123457913[[#This Row],[b (mm)]]*Table1123457913[[#This Row],[d (mm)]]*Table1123457913[[#This Row],[pho (%)]])</f>
        <v>2.9917264202978489</v>
      </c>
      <c r="V6" s="111">
        <f>E6*224.8/(2*SQRT(Table1123457913[[#This Row],[fc (Mpa)]]*145.037)*Table1123457913[[#This Row],[b (mm)]]*Table1123457913[[#This Row],[d (mm)]]*(1/25.4)^2)</f>
        <v>0.91947741077074041</v>
      </c>
      <c r="W6" s="111">
        <f>Table1123457913[[#This Row],[M (KN.mm)]]/$G$7</f>
        <v>0.96033994334277617</v>
      </c>
      <c r="X6" s="111">
        <f t="shared" si="6"/>
        <v>0.91947741077074041</v>
      </c>
      <c r="Y6" s="111">
        <f t="shared" si="3"/>
        <v>2400</v>
      </c>
      <c r="Z6" s="111">
        <v>925</v>
      </c>
      <c r="AA6" s="111">
        <v>1000</v>
      </c>
      <c r="AB6" s="111">
        <v>300</v>
      </c>
      <c r="AC6" s="7">
        <v>64</v>
      </c>
      <c r="AD6" s="111">
        <f>Table1123457913[[#This Row],[pho (%)]]*Table1123457913[[#This Row],[b (mm)]]*Table1123457913[[#This Row],[h (mm)]]/100</f>
        <v>2940</v>
      </c>
      <c r="AE6" s="111">
        <f t="shared" si="4"/>
        <v>0.98</v>
      </c>
      <c r="AF6" s="111">
        <v>525</v>
      </c>
      <c r="AG6" s="111">
        <f>(1/3-0.21*(MIN(Table1123457913[[#This Row],[b (mm)]],AA6)/MAX(Table1123457913[[#This Row],[b (mm)]],AA6))*(MIN(Table1123457913[[#This Row],[b (mm)]],AA6)^4/(12*MAX(Table1123457913[[#This Row],[b (mm)]],AA6)^4)))*MAX(Table1123457913[[#This Row],[b (mm)]],AA6)*MIN(Table1123457913[[#This Row],[b (mm)]],AA6)^3</f>
        <v>8998851825</v>
      </c>
      <c r="AH6" s="111">
        <f>Table1123457913[[#This Row],[b (mm)]]*AA6^3/12</f>
        <v>25000000000</v>
      </c>
      <c r="AI6" s="111">
        <v>4800</v>
      </c>
      <c r="AK6" s="126" t="s">
        <v>16</v>
      </c>
      <c r="AL6" s="107">
        <f>AL5/(2*(1+0.15))</f>
        <v>11450.774071786596</v>
      </c>
    </row>
    <row r="7" spans="1:39" x14ac:dyDescent="0.25">
      <c r="A7" s="143" t="s">
        <v>186</v>
      </c>
      <c r="B7" s="185" t="s">
        <v>141</v>
      </c>
      <c r="C7" s="185">
        <v>6</v>
      </c>
      <c r="D7" s="275">
        <f>Table1123457913[[#This Row],[a (mm)]]/Table1123457913[[#This Row],[d (mm)]]</f>
        <v>2.5945945945945947</v>
      </c>
      <c r="E7" s="275">
        <f>706/2</f>
        <v>353</v>
      </c>
      <c r="F7" s="137">
        <f>Table1123457913[[#This Row],[d (mm)]]</f>
        <v>925</v>
      </c>
      <c r="G7" s="111">
        <f t="shared" si="5"/>
        <v>847200</v>
      </c>
      <c r="H7" s="111">
        <f t="shared" si="0"/>
        <v>1.2867176446857811E-6</v>
      </c>
      <c r="I7" s="111">
        <f>G7/(Table1123457913[[#This Row],[b (mm)]]*Z7^2)</f>
        <v>3.3005113221329439E-3</v>
      </c>
      <c r="J7" s="111">
        <f t="shared" si="1"/>
        <v>0.59338638930475662</v>
      </c>
      <c r="K7" s="111">
        <f t="shared" si="2"/>
        <v>1.2492747336197537E-6</v>
      </c>
      <c r="L7" s="111">
        <f>E7/(Table1123457913[[#This Row],[b (mm)]]*Z7)</f>
        <v>1.272072072072072E-3</v>
      </c>
      <c r="M7" s="111">
        <f>Table1123457913[[#This Row],[M (KN.mm)]]/(Table1123457913[[#This Row],[b (mm)]]*Table1123457913[[#This Row],[d (mm)]])</f>
        <v>3.0529729729729729</v>
      </c>
      <c r="N7" s="111">
        <f>Table1123457913[[#This Row],[M (KN.mm)]]/(Table1123457913[[#This Row],[b (mm)]]*Table1123457913[[#This Row],[h (mm)]])</f>
        <v>2.8239999999999998</v>
      </c>
      <c r="O7" s="111">
        <f>Table1123457913[[#This Row],[M (KN.mm)]]/(Table1123457913[[#This Row],[b (mm)]]*Table1123457913[[#This Row],[h (mm)]]*Table1123457913[[#This Row],[L(mm)]])</f>
        <v>5.8833333333333329E-4</v>
      </c>
      <c r="P7" s="111">
        <f>Table1123457913[[#This Row],[M (KN.mm)]]/(Table1123457913[[#This Row],[b (mm)]]*Table1123457913[[#This Row],[d (mm)]]*Table1123457913[[#This Row],[L(mm)]])</f>
        <v>6.3603603603603601E-4</v>
      </c>
      <c r="Q7" s="111">
        <f>Table1123457913[[#This Row],[M (KN.mm)]]/(Table1123457913[[#This Row],[b (mm)]]*Table1123457913[[#This Row],[h (mm)]]*Table1123457913[[#This Row],[L(mm)]]*Table1123457913[[#This Row],[fc (Mpa)]])</f>
        <v>9.1927083333333326E-6</v>
      </c>
      <c r="R7" s="111">
        <f>Table1123457913[[#This Row],[M (KN.mm)]]/(Table1123457913[[#This Row],[b (mm)]]*Table1123457913[[#This Row],[h (mm)]]*Table1123457913[[#This Row],[L(mm)]]/2)</f>
        <v>1.1766666666666666E-3</v>
      </c>
      <c r="S7" s="111">
        <f>Table1123457913[[#This Row],[M (KN.mm)]]/(Table1123457913[[#This Row],[a (mm)]]*Table1123457913[[#This Row],[b (mm)]]*Table1123457913[[#This Row],[h (mm)]]*Table1123457913[[#This Row],[L(mm)]]/2)</f>
        <v>4.9027777777777779E-7</v>
      </c>
      <c r="T7" s="111">
        <f>G7/($AL$5*AH7*0.001*Table1123457913[[#This Row],[pho (%)]])</f>
        <v>1.3129771884548787E-6</v>
      </c>
      <c r="U7" s="111">
        <f>Table1123457913[[#This Row],[M (KN.mm)]]/(Table1123457913[[#This Row],[b (mm)]]*Table1123457913[[#This Row],[d (mm)]]*Table1123457913[[#This Row],[pho (%)]])</f>
        <v>3.1152785438499726</v>
      </c>
      <c r="V7" s="111">
        <f>E7*224.8/(2*SQRT(Table1123457913[[#This Row],[fc (Mpa)]]*145.037)*Table1123457913[[#This Row],[b (mm)]]*Table1123457913[[#This Row],[d (mm)]]*(1/25.4)^2)</f>
        <v>0.95744992920965011</v>
      </c>
      <c r="W7" s="111">
        <f>Table1123457913[[#This Row],[M (KN.mm)]]/$G$7</f>
        <v>1</v>
      </c>
      <c r="X7" s="111">
        <f t="shared" si="6"/>
        <v>0.95744992920965011</v>
      </c>
      <c r="Y7" s="111">
        <f t="shared" si="3"/>
        <v>2400</v>
      </c>
      <c r="Z7" s="111">
        <v>925</v>
      </c>
      <c r="AA7" s="111">
        <v>1000</v>
      </c>
      <c r="AB7" s="111">
        <v>300</v>
      </c>
      <c r="AC7" s="7">
        <v>64</v>
      </c>
      <c r="AD7" s="111">
        <f>Table1123457913[[#This Row],[pho (%)]]*Table1123457913[[#This Row],[b (mm)]]*Table1123457913[[#This Row],[h (mm)]]/100</f>
        <v>2940</v>
      </c>
      <c r="AE7" s="111">
        <f t="shared" si="4"/>
        <v>0.98</v>
      </c>
      <c r="AF7" s="111">
        <v>525</v>
      </c>
      <c r="AG7" s="111">
        <f>(1/3-0.21*(MIN(Table1123457913[[#This Row],[b (mm)]],AA7)/MAX(Table1123457913[[#This Row],[b (mm)]],AA7))*(MIN(Table1123457913[[#This Row],[b (mm)]],AA7)^4/(12*MAX(Table1123457913[[#This Row],[b (mm)]],AA7)^4)))*MAX(Table1123457913[[#This Row],[b (mm)]],AA7)*MIN(Table1123457913[[#This Row],[b (mm)]],AA7)^3</f>
        <v>8998851825</v>
      </c>
      <c r="AH7" s="111">
        <f>Table1123457913[[#This Row],[b (mm)]]*AA7^3/12</f>
        <v>25000000000</v>
      </c>
      <c r="AI7" s="111">
        <v>4800</v>
      </c>
      <c r="AK7" s="107"/>
    </row>
    <row r="8" spans="1:39" x14ac:dyDescent="0.25">
      <c r="A8" s="276" t="s">
        <v>187</v>
      </c>
      <c r="B8" s="277">
        <v>1</v>
      </c>
      <c r="C8" s="277">
        <v>7</v>
      </c>
      <c r="D8" s="275">
        <f>Table1123457913[[#This Row],[a (mm)]]/Table1123457913[[#This Row],[d (mm)]]</f>
        <v>1.9459459459459461</v>
      </c>
      <c r="E8" s="278">
        <f>340.5/2</f>
        <v>170.25</v>
      </c>
      <c r="F8" s="137">
        <f>Table1123457913[[#This Row],[d (mm)]]</f>
        <v>925</v>
      </c>
      <c r="G8" s="111">
        <f t="shared" si="5"/>
        <v>306450</v>
      </c>
      <c r="H8" s="111">
        <f t="shared" si="0"/>
        <v>4.6543274576718327E-7</v>
      </c>
      <c r="I8" s="111">
        <f>G8/(Table1123457913[[#This Row],[b (mm)]]*Z8^2)</f>
        <v>1.1938641344046749E-3</v>
      </c>
      <c r="J8" s="111">
        <f t="shared" si="1"/>
        <v>0.21464029627294934</v>
      </c>
      <c r="K8" s="111">
        <f t="shared" si="2"/>
        <v>6.0251847988318152E-7</v>
      </c>
      <c r="L8" s="111">
        <f>E8/(Table1123457913[[#This Row],[b (mm)]]*Z8)</f>
        <v>6.135135135135135E-4</v>
      </c>
      <c r="M8" s="111">
        <f>Table1123457913[[#This Row],[M (KN.mm)]]/(Table1123457913[[#This Row],[b (mm)]]*Table1123457913[[#This Row],[d (mm)]])</f>
        <v>1.1043243243243244</v>
      </c>
      <c r="N8" s="111">
        <f>Table1123457913[[#This Row],[M (KN.mm)]]/(Table1123457913[[#This Row],[b (mm)]]*Table1123457913[[#This Row],[h (mm)]])</f>
        <v>1.0215000000000001</v>
      </c>
      <c r="O8" s="111">
        <f>Table1123457913[[#This Row],[M (KN.mm)]]/(Table1123457913[[#This Row],[b (mm)]]*Table1123457913[[#This Row],[h (mm)]]*Table1123457913[[#This Row],[L(mm)]])</f>
        <v>2.8374999999999999E-4</v>
      </c>
      <c r="P8" s="111">
        <f>Table1123457913[[#This Row],[M (KN.mm)]]/(Table1123457913[[#This Row],[b (mm)]]*Table1123457913[[#This Row],[d (mm)]]*Table1123457913[[#This Row],[L(mm)]])</f>
        <v>3.0675675675675675E-4</v>
      </c>
      <c r="Q8" s="111">
        <f>Table1123457913[[#This Row],[M (KN.mm)]]/(Table1123457913[[#This Row],[b (mm)]]*Table1123457913[[#This Row],[h (mm)]]*Table1123457913[[#This Row],[L(mm)]]*Table1123457913[[#This Row],[fc (Mpa)]])</f>
        <v>7.2756410256410255E-6</v>
      </c>
      <c r="R8" s="111">
        <f>Table1123457913[[#This Row],[M (KN.mm)]]/(Table1123457913[[#This Row],[b (mm)]]*Table1123457913[[#This Row],[h (mm)]]*Table1123457913[[#This Row],[L(mm)]]/2)</f>
        <v>5.6749999999999997E-4</v>
      </c>
      <c r="S8" s="111">
        <f>Table1123457913[[#This Row],[M (KN.mm)]]/(Table1123457913[[#This Row],[a (mm)]]*Table1123457913[[#This Row],[b (mm)]]*Table1123457913[[#This Row],[h (mm)]]*Table1123457913[[#This Row],[L(mm)]]/2)</f>
        <v>3.1527777777777777E-7</v>
      </c>
      <c r="T8" s="111">
        <f>G8/($AL$5*AH8*0.001*Table1123457913[[#This Row],[pho (%)]])</f>
        <v>4.7493137323181961E-7</v>
      </c>
      <c r="U8" s="111">
        <f>Table1123457913[[#This Row],[M (KN.mm)]]/(Table1123457913[[#This Row],[b (mm)]]*Table1123457913[[#This Row],[d (mm)]]*Table1123457913[[#This Row],[pho (%)]])</f>
        <v>1.1268615554329839</v>
      </c>
      <c r="V8" s="111">
        <f>E8*224.8/(2*SQRT(Table1123457913[[#This Row],[fc (Mpa)]]*145.037)*Table1123457913[[#This Row],[b (mm)]]*Table1123457913[[#This Row],[d (mm)]]*(1/25.4)^2)</f>
        <v>0.59154279641149543</v>
      </c>
      <c r="W8" s="111">
        <f>Table1123457913[[#This Row],[M (KN.mm)]]/$G$12</f>
        <v>0.21833921128566849</v>
      </c>
      <c r="X8" s="111">
        <f t="shared" si="6"/>
        <v>0.59154279641149543</v>
      </c>
      <c r="Y8" s="111">
        <v>1800</v>
      </c>
      <c r="Z8" s="111">
        <v>925</v>
      </c>
      <c r="AA8" s="111">
        <v>1000</v>
      </c>
      <c r="AB8" s="111">
        <v>300</v>
      </c>
      <c r="AC8" s="7">
        <v>39</v>
      </c>
      <c r="AD8" s="111">
        <f>Table1123457913[[#This Row],[pho (%)]]*Table1123457913[[#This Row],[b (mm)]]*Table1123457913[[#This Row],[h (mm)]]/100</f>
        <v>2940</v>
      </c>
      <c r="AE8" s="111">
        <f t="shared" si="4"/>
        <v>0.98</v>
      </c>
      <c r="AF8" s="111">
        <v>525</v>
      </c>
      <c r="AG8" s="111">
        <f>(1/3-0.21*(MIN(Table1123457913[[#This Row],[b (mm)]],AA8)/MAX(Table1123457913[[#This Row],[b (mm)]],AA8))*(MIN(Table1123457913[[#This Row],[b (mm)]],AA8)^4/(12*MAX(Table1123457913[[#This Row],[b (mm)]],AA8)^4)))*MAX(Table1123457913[[#This Row],[b (mm)]],AA8)*MIN(Table1123457913[[#This Row],[b (mm)]],AA8)^3</f>
        <v>8998851825</v>
      </c>
      <c r="AH8" s="111">
        <f>Table1123457913[[#This Row],[b (mm)]]*AA8^3/12</f>
        <v>25000000000</v>
      </c>
      <c r="AI8" s="111">
        <v>3600</v>
      </c>
      <c r="AK8" s="107"/>
    </row>
    <row r="9" spans="1:39" x14ac:dyDescent="0.25">
      <c r="A9" s="276" t="s">
        <v>187</v>
      </c>
      <c r="B9" s="277">
        <v>2</v>
      </c>
      <c r="C9" s="277">
        <v>8</v>
      </c>
      <c r="D9" s="275">
        <f>Table1123457913[[#This Row],[a (mm)]]/Table1123457913[[#This Row],[d (mm)]]</f>
        <v>1.9459459459459461</v>
      </c>
      <c r="E9" s="278">
        <f>678.5/2</f>
        <v>339.25</v>
      </c>
      <c r="F9" s="137">
        <f>Table1123457913[[#This Row],[d (mm)]]</f>
        <v>925</v>
      </c>
      <c r="G9" s="111">
        <f t="shared" si="5"/>
        <v>610650</v>
      </c>
      <c r="H9" s="111">
        <f t="shared" si="0"/>
        <v>9.274482173363696E-7</v>
      </c>
      <c r="I9" s="111">
        <f>G9/(Table1123457913[[#This Row],[b (mm)]]*Z9^2)</f>
        <v>2.3789627465303142E-3</v>
      </c>
      <c r="J9" s="111">
        <f t="shared" si="1"/>
        <v>0.42770467260263179</v>
      </c>
      <c r="K9" s="111">
        <f t="shared" si="2"/>
        <v>1.200613182381024E-6</v>
      </c>
      <c r="L9" s="111">
        <f>E9/(Table1123457913[[#This Row],[b (mm)]]*Z9)</f>
        <v>1.2225225225225226E-3</v>
      </c>
      <c r="M9" s="111">
        <f>Table1123457913[[#This Row],[M (KN.mm)]]/(Table1123457913[[#This Row],[b (mm)]]*Table1123457913[[#This Row],[d (mm)]])</f>
        <v>2.2005405405405405</v>
      </c>
      <c r="N9" s="111">
        <f>Table1123457913[[#This Row],[M (KN.mm)]]/(Table1123457913[[#This Row],[b (mm)]]*Table1123457913[[#This Row],[h (mm)]])</f>
        <v>2.0354999999999999</v>
      </c>
      <c r="O9" s="111">
        <f>Table1123457913[[#This Row],[M (KN.mm)]]/(Table1123457913[[#This Row],[b (mm)]]*Table1123457913[[#This Row],[h (mm)]]*Table1123457913[[#This Row],[L(mm)]])</f>
        <v>5.6541666666666665E-4</v>
      </c>
      <c r="P9" s="111">
        <f>Table1123457913[[#This Row],[M (KN.mm)]]/(Table1123457913[[#This Row],[b (mm)]]*Table1123457913[[#This Row],[d (mm)]]*Table1123457913[[#This Row],[L(mm)]])</f>
        <v>6.1126126126126131E-4</v>
      </c>
      <c r="Q9" s="111">
        <f>Table1123457913[[#This Row],[M (KN.mm)]]/(Table1123457913[[#This Row],[b (mm)]]*Table1123457913[[#This Row],[h (mm)]]*Table1123457913[[#This Row],[L(mm)]]*Table1123457913[[#This Row],[fc (Mpa)]])</f>
        <v>1.4497863247863248E-5</v>
      </c>
      <c r="R9" s="111">
        <f>Table1123457913[[#This Row],[M (KN.mm)]]/(Table1123457913[[#This Row],[b (mm)]]*Table1123457913[[#This Row],[h (mm)]]*Table1123457913[[#This Row],[L(mm)]]/2)</f>
        <v>1.1308333333333333E-3</v>
      </c>
      <c r="S9" s="111">
        <f>Table1123457913[[#This Row],[M (KN.mm)]]/(Table1123457913[[#This Row],[a (mm)]]*Table1123457913[[#This Row],[b (mm)]]*Table1123457913[[#This Row],[h (mm)]]*Table1123457913[[#This Row],[L(mm)]]/2)</f>
        <v>6.2824074074074075E-7</v>
      </c>
      <c r="T9" s="111">
        <f>G9/($AL$5*AH9*0.001*Table1123457913[[#This Row],[pho (%)]])</f>
        <v>9.4637573197588731E-7</v>
      </c>
      <c r="U9" s="111">
        <f>Table1123457913[[#This Row],[M (KN.mm)]]/(Table1123457913[[#This Row],[b (mm)]]*Table1123457913[[#This Row],[d (mm)]]*Table1123457913[[#This Row],[pho (%)]])</f>
        <v>2.2454495311638167</v>
      </c>
      <c r="V9" s="111">
        <f>E9*224.8/(2*SQRT(Table1123457913[[#This Row],[fc (Mpa)]]*145.037)*Table1123457913[[#This Row],[b (mm)]]*Table1123457913[[#This Row],[d (mm)]]*(1/25.4)^2)</f>
        <v>1.1787424004851679</v>
      </c>
      <c r="W9" s="111">
        <f>Table1123457913[[#This Row],[M (KN.mm)]]/$G$12</f>
        <v>0.43507534466175057</v>
      </c>
      <c r="X9" s="111">
        <f t="shared" si="6"/>
        <v>1.1787424004851679</v>
      </c>
      <c r="Y9" s="111">
        <v>1800</v>
      </c>
      <c r="Z9" s="111">
        <v>925</v>
      </c>
      <c r="AA9" s="111">
        <v>1000</v>
      </c>
      <c r="AB9" s="111">
        <v>300</v>
      </c>
      <c r="AC9" s="7">
        <v>39</v>
      </c>
      <c r="AD9" s="111">
        <f>Table1123457913[[#This Row],[pho (%)]]*Table1123457913[[#This Row],[b (mm)]]*Table1123457913[[#This Row],[h (mm)]]/100</f>
        <v>2940</v>
      </c>
      <c r="AE9" s="111">
        <f t="shared" si="4"/>
        <v>0.98</v>
      </c>
      <c r="AF9" s="111">
        <v>525</v>
      </c>
      <c r="AG9" s="111">
        <f>(1/3-0.21*(MIN(Table1123457913[[#This Row],[b (mm)]],AA9)/MAX(Table1123457913[[#This Row],[b (mm)]],AA9))*(MIN(Table1123457913[[#This Row],[b (mm)]],AA9)^4/(12*MAX(Table1123457913[[#This Row],[b (mm)]],AA9)^4)))*MAX(Table1123457913[[#This Row],[b (mm)]],AA9)*MIN(Table1123457913[[#This Row],[b (mm)]],AA9)^3</f>
        <v>8998851825</v>
      </c>
      <c r="AH9" s="111">
        <f>Table1123457913[[#This Row],[b (mm)]]*AA9^3/12</f>
        <v>25000000000</v>
      </c>
      <c r="AI9" s="111">
        <v>3600</v>
      </c>
      <c r="AK9" s="107"/>
    </row>
    <row r="10" spans="1:39" ht="12.75" customHeight="1" x14ac:dyDescent="0.25">
      <c r="A10" s="276" t="s">
        <v>187</v>
      </c>
      <c r="B10" s="277">
        <v>3</v>
      </c>
      <c r="C10" s="277">
        <v>9</v>
      </c>
      <c r="D10" s="275">
        <f>Table1123457913[[#This Row],[a (mm)]]/Table1123457913[[#This Row],[d (mm)]]</f>
        <v>1.9459459459459461</v>
      </c>
      <c r="E10" s="278">
        <f>889/2</f>
        <v>444.5</v>
      </c>
      <c r="F10" s="137">
        <f>Table1123457913[[#This Row],[d (mm)]]</f>
        <v>925</v>
      </c>
      <c r="G10" s="111">
        <f t="shared" si="5"/>
        <v>800100</v>
      </c>
      <c r="H10" s="111">
        <f t="shared" si="0"/>
        <v>1.215182704807712E-6</v>
      </c>
      <c r="I10" s="111">
        <f>G10/(Table1123457913[[#This Row],[b (mm)]]*Z10^2)</f>
        <v>3.1170197224251279E-3</v>
      </c>
      <c r="J10" s="111">
        <f t="shared" si="1"/>
        <v>0.56039713182570328</v>
      </c>
      <c r="K10" s="111">
        <f t="shared" si="2"/>
        <v>1.5730952382265736E-6</v>
      </c>
      <c r="L10" s="111">
        <f>E10/(Table1123457913[[#This Row],[b (mm)]]*Z10)</f>
        <v>1.6018018018018017E-3</v>
      </c>
      <c r="M10" s="111">
        <f>Table1123457913[[#This Row],[M (KN.mm)]]/(Table1123457913[[#This Row],[b (mm)]]*Table1123457913[[#This Row],[d (mm)]])</f>
        <v>2.8832432432432431</v>
      </c>
      <c r="N10" s="111">
        <f>Table1123457913[[#This Row],[M (KN.mm)]]/(Table1123457913[[#This Row],[b (mm)]]*Table1123457913[[#This Row],[h (mm)]])</f>
        <v>2.6669999999999998</v>
      </c>
      <c r="O10" s="111">
        <f>Table1123457913[[#This Row],[M (KN.mm)]]/(Table1123457913[[#This Row],[b (mm)]]*Table1123457913[[#This Row],[h (mm)]]*Table1123457913[[#This Row],[L(mm)]])</f>
        <v>7.4083333333333336E-4</v>
      </c>
      <c r="P10" s="111">
        <f>Table1123457913[[#This Row],[M (KN.mm)]]/(Table1123457913[[#This Row],[b (mm)]]*Table1123457913[[#This Row],[d (mm)]]*Table1123457913[[#This Row],[L(mm)]])</f>
        <v>8.0090090090090087E-4</v>
      </c>
      <c r="Q10" s="111">
        <f>Table1123457913[[#This Row],[M (KN.mm)]]/(Table1123457913[[#This Row],[b (mm)]]*Table1123457913[[#This Row],[h (mm)]]*Table1123457913[[#This Row],[L(mm)]]*Table1123457913[[#This Row],[fc (Mpa)]])</f>
        <v>1.8995726495726496E-5</v>
      </c>
      <c r="R10" s="111">
        <f>Table1123457913[[#This Row],[M (KN.mm)]]/(Table1123457913[[#This Row],[b (mm)]]*Table1123457913[[#This Row],[h (mm)]]*Table1123457913[[#This Row],[L(mm)]]/2)</f>
        <v>1.4816666666666667E-3</v>
      </c>
      <c r="S10" s="111">
        <f>Table1123457913[[#This Row],[M (KN.mm)]]/(Table1123457913[[#This Row],[a (mm)]]*Table1123457913[[#This Row],[b (mm)]]*Table1123457913[[#This Row],[h (mm)]]*Table1123457913[[#This Row],[L(mm)]]/2)</f>
        <v>8.2314814814814814E-7</v>
      </c>
      <c r="T10" s="111">
        <f>G10/($AL$5*AH10*0.001*Table1123457913[[#This Row],[pho (%)]])</f>
        <v>1.2399823518446039E-6</v>
      </c>
      <c r="U10" s="111">
        <f>Table1123457913[[#This Row],[M (KN.mm)]]/(Table1123457913[[#This Row],[b (mm)]]*Table1123457913[[#This Row],[d (mm)]]*Table1123457913[[#This Row],[pho (%)]])</f>
        <v>2.942084942084942</v>
      </c>
      <c r="V10" s="111">
        <f>E10*224.8/(2*SQRT(Table1123457913[[#This Row],[fc (Mpa)]]*145.037)*Table1123457913[[#This Row],[b (mm)]]*Table1123457913[[#This Row],[d (mm)]]*(1/25.4)^2)</f>
        <v>1.5444391953298662</v>
      </c>
      <c r="W10" s="111">
        <f>Table1123457913[[#This Row],[M (KN.mm)]]/$G$12</f>
        <v>0.57005450464892593</v>
      </c>
      <c r="X10" s="111">
        <f t="shared" si="6"/>
        <v>1.5444391953298662</v>
      </c>
      <c r="Y10" s="111">
        <v>1800</v>
      </c>
      <c r="Z10" s="111">
        <v>925</v>
      </c>
      <c r="AA10" s="111">
        <v>1000</v>
      </c>
      <c r="AB10" s="111">
        <v>300</v>
      </c>
      <c r="AC10" s="7">
        <v>39</v>
      </c>
      <c r="AD10" s="111">
        <f>Table1123457913[[#This Row],[pho (%)]]*Table1123457913[[#This Row],[b (mm)]]*Table1123457913[[#This Row],[h (mm)]]/100</f>
        <v>2940</v>
      </c>
      <c r="AE10" s="111">
        <f t="shared" si="4"/>
        <v>0.98</v>
      </c>
      <c r="AF10" s="111">
        <v>525</v>
      </c>
      <c r="AG10" s="111">
        <f>(1/3-0.21*(MIN(Table1123457913[[#This Row],[b (mm)]],AA10)/MAX(Table1123457913[[#This Row],[b (mm)]],AA10))*(MIN(Table1123457913[[#This Row],[b (mm)]],AA10)^4/(12*MAX(Table1123457913[[#This Row],[b (mm)]],AA10)^4)))*MAX(Table1123457913[[#This Row],[b (mm)]],AA10)*MIN(Table1123457913[[#This Row],[b (mm)]],AA10)^3</f>
        <v>8998851825</v>
      </c>
      <c r="AH10" s="111">
        <f>Table1123457913[[#This Row],[b (mm)]]*AA10^3/12</f>
        <v>25000000000</v>
      </c>
      <c r="AI10" s="111">
        <v>3600</v>
      </c>
      <c r="AK10" s="107"/>
    </row>
    <row r="11" spans="1:39" x14ac:dyDescent="0.25">
      <c r="A11" s="276" t="s">
        <v>187</v>
      </c>
      <c r="B11" s="277">
        <v>4</v>
      </c>
      <c r="C11" s="277">
        <v>10</v>
      </c>
      <c r="D11" s="275">
        <f>Table1123457913[[#This Row],[a (mm)]]/Table1123457913[[#This Row],[d (mm)]]</f>
        <v>1.9459459459459461</v>
      </c>
      <c r="E11" s="278">
        <f>1202/2</f>
        <v>601</v>
      </c>
      <c r="F11" s="137">
        <f>Table1123457913[[#This Row],[d (mm)]]</f>
        <v>925</v>
      </c>
      <c r="G11" s="111">
        <f t="shared" si="5"/>
        <v>1081800</v>
      </c>
      <c r="H11" s="111">
        <f t="shared" si="0"/>
        <v>1.6430254343969289E-6</v>
      </c>
      <c r="I11" s="111">
        <f>G11/(Table1123457913[[#This Row],[b (mm)]]*Z11^2)</f>
        <v>4.214463111760409E-3</v>
      </c>
      <c r="J11" s="111">
        <f t="shared" si="1"/>
        <v>0.75770230872271693</v>
      </c>
      <c r="K11" s="111">
        <f t="shared" si="2"/>
        <v>2.1269521668710252E-6</v>
      </c>
      <c r="L11" s="111">
        <f>E11/(Table1123457913[[#This Row],[b (mm)]]*Z11)</f>
        <v>2.165765765765766E-3</v>
      </c>
      <c r="M11" s="111">
        <f>Table1123457913[[#This Row],[M (KN.mm)]]/(Table1123457913[[#This Row],[b (mm)]]*Table1123457913[[#This Row],[d (mm)]])</f>
        <v>3.8983783783783785</v>
      </c>
      <c r="N11" s="111">
        <f>Table1123457913[[#This Row],[M (KN.mm)]]/(Table1123457913[[#This Row],[b (mm)]]*Table1123457913[[#This Row],[h (mm)]])</f>
        <v>3.6059999999999999</v>
      </c>
      <c r="O11" s="111">
        <f>Table1123457913[[#This Row],[M (KN.mm)]]/(Table1123457913[[#This Row],[b (mm)]]*Table1123457913[[#This Row],[h (mm)]]*Table1123457913[[#This Row],[L(mm)]])</f>
        <v>1.0016666666666668E-3</v>
      </c>
      <c r="P11" s="111">
        <f>Table1123457913[[#This Row],[M (KN.mm)]]/(Table1123457913[[#This Row],[b (mm)]]*Table1123457913[[#This Row],[d (mm)]]*Table1123457913[[#This Row],[L(mm)]])</f>
        <v>1.082882882882883E-3</v>
      </c>
      <c r="Q11" s="111">
        <f>Table1123457913[[#This Row],[M (KN.mm)]]/(Table1123457913[[#This Row],[b (mm)]]*Table1123457913[[#This Row],[h (mm)]]*Table1123457913[[#This Row],[L(mm)]]*Table1123457913[[#This Row],[fc (Mpa)]])</f>
        <v>2.5683760683760682E-5</v>
      </c>
      <c r="R11" s="111">
        <f>Table1123457913[[#This Row],[M (KN.mm)]]/(Table1123457913[[#This Row],[b (mm)]]*Table1123457913[[#This Row],[h (mm)]]*Table1123457913[[#This Row],[L(mm)]]/2)</f>
        <v>2.0033333333333335E-3</v>
      </c>
      <c r="S11" s="111">
        <f>Table1123457913[[#This Row],[M (KN.mm)]]/(Table1123457913[[#This Row],[a (mm)]]*Table1123457913[[#This Row],[b (mm)]]*Table1123457913[[#This Row],[h (mm)]]*Table1123457913[[#This Row],[L(mm)]]/2)</f>
        <v>1.112962962962963E-6</v>
      </c>
      <c r="T11" s="111">
        <f>G11/($AL$5*AH11*0.001*Table1123457913[[#This Row],[pho (%)]])</f>
        <v>1.6765565657111518E-6</v>
      </c>
      <c r="U11" s="111">
        <f>Table1123457913[[#This Row],[M (KN.mm)]]/(Table1123457913[[#This Row],[b (mm)]]*Table1123457913[[#This Row],[d (mm)]]*Table1123457913[[#This Row],[pho (%)]])</f>
        <v>3.9779371207942638</v>
      </c>
      <c r="V11" s="111">
        <f>E11*224.8/(2*SQRT(Table1123457913[[#This Row],[fc (Mpa)]]*145.037)*Table1123457913[[#This Row],[b (mm)]]*Table1123457913[[#This Row],[d (mm)]]*(1/25.4)^2)</f>
        <v>2.0882068760253087</v>
      </c>
      <c r="W11" s="111">
        <f>Table1123457913[[#This Row],[M (KN.mm)]]/$G$12</f>
        <v>0.770759858929144</v>
      </c>
      <c r="X11" s="111">
        <f t="shared" si="6"/>
        <v>2.0882068760253087</v>
      </c>
      <c r="Y11" s="111">
        <v>1800</v>
      </c>
      <c r="Z11" s="111">
        <v>925</v>
      </c>
      <c r="AA11" s="111">
        <v>1000</v>
      </c>
      <c r="AB11" s="111">
        <v>300</v>
      </c>
      <c r="AC11" s="7">
        <v>39</v>
      </c>
      <c r="AD11" s="111">
        <f>Table1123457913[[#This Row],[pho (%)]]*Table1123457913[[#This Row],[b (mm)]]*Table1123457913[[#This Row],[h (mm)]]/100</f>
        <v>2940</v>
      </c>
      <c r="AE11" s="111">
        <f t="shared" si="4"/>
        <v>0.98</v>
      </c>
      <c r="AF11" s="111">
        <v>525</v>
      </c>
      <c r="AG11" s="111">
        <f>(1/3-0.21*(MIN(Table1123457913[[#This Row],[b (mm)]],AA11)/MAX(Table1123457913[[#This Row],[b (mm)]],AA11))*(MIN(Table1123457913[[#This Row],[b (mm)]],AA11)^4/(12*MAX(Table1123457913[[#This Row],[b (mm)]],AA11)^4)))*MAX(Table1123457913[[#This Row],[b (mm)]],AA11)*MIN(Table1123457913[[#This Row],[b (mm)]],AA11)^3</f>
        <v>8998851825</v>
      </c>
      <c r="AH11" s="111">
        <f>Table1123457913[[#This Row],[b (mm)]]*AA11^3/12</f>
        <v>25000000000</v>
      </c>
      <c r="AI11" s="111">
        <v>3600</v>
      </c>
      <c r="AK11" s="107"/>
    </row>
    <row r="12" spans="1:39" ht="17.25" customHeight="1" x14ac:dyDescent="0.25">
      <c r="A12" s="276" t="s">
        <v>187</v>
      </c>
      <c r="B12" s="277" t="s">
        <v>141</v>
      </c>
      <c r="C12" s="277">
        <v>11</v>
      </c>
      <c r="D12" s="275">
        <f>Table1123457913[[#This Row],[a (mm)]]/Table1123457913[[#This Row],[d (mm)]]</f>
        <v>1.9459459459459461</v>
      </c>
      <c r="E12" s="278">
        <f>1559.5/2</f>
        <v>779.75</v>
      </c>
      <c r="F12" s="137">
        <f>Table1123457913[[#This Row],[d (mm)]]</f>
        <v>925</v>
      </c>
      <c r="G12" s="111">
        <f t="shared" si="5"/>
        <v>1403550</v>
      </c>
      <c r="H12" s="111">
        <f t="shared" si="0"/>
        <v>2.1316956447104914E-6</v>
      </c>
      <c r="I12" s="111">
        <f>G12/(Table1123457913[[#This Row],[b (mm)]]*Z12^2)</f>
        <v>5.4679327976625272E-3</v>
      </c>
      <c r="J12" s="111">
        <f t="shared" si="1"/>
        <v>0.98305886060988101</v>
      </c>
      <c r="K12" s="111">
        <f t="shared" si="2"/>
        <v>2.7595523329745124E-6</v>
      </c>
      <c r="L12" s="111">
        <f>E12/(Table1123457913[[#This Row],[b (mm)]]*Z12)</f>
        <v>2.8099099099099098E-3</v>
      </c>
      <c r="M12" s="111">
        <f>Table1123457913[[#This Row],[M (KN.mm)]]/(Table1123457913[[#This Row],[b (mm)]]*Table1123457913[[#This Row],[d (mm)]])</f>
        <v>5.0578378378378375</v>
      </c>
      <c r="N12" s="111">
        <f>Table1123457913[[#This Row],[M (KN.mm)]]/(Table1123457913[[#This Row],[b (mm)]]*Table1123457913[[#This Row],[h (mm)]])</f>
        <v>4.6784999999999997</v>
      </c>
      <c r="O12" s="111">
        <f>Table1123457913[[#This Row],[M (KN.mm)]]/(Table1123457913[[#This Row],[b (mm)]]*Table1123457913[[#This Row],[h (mm)]]*Table1123457913[[#This Row],[L(mm)]])</f>
        <v>1.2995833333333334E-3</v>
      </c>
      <c r="P12" s="111">
        <f>Table1123457913[[#This Row],[M (KN.mm)]]/(Table1123457913[[#This Row],[b (mm)]]*Table1123457913[[#This Row],[d (mm)]]*Table1123457913[[#This Row],[L(mm)]])</f>
        <v>1.4049549549549549E-3</v>
      </c>
      <c r="Q12" s="111">
        <f>Table1123457913[[#This Row],[M (KN.mm)]]/(Table1123457913[[#This Row],[b (mm)]]*Table1123457913[[#This Row],[h (mm)]]*Table1123457913[[#This Row],[L(mm)]]*Table1123457913[[#This Row],[fc (Mpa)]])</f>
        <v>3.3322649572649573E-5</v>
      </c>
      <c r="R12" s="111">
        <f>Table1123457913[[#This Row],[M (KN.mm)]]/(Table1123457913[[#This Row],[b (mm)]]*Table1123457913[[#This Row],[h (mm)]]*Table1123457913[[#This Row],[L(mm)]]/2)</f>
        <v>2.5991666666666667E-3</v>
      </c>
      <c r="S12" s="111">
        <f>Table1123457913[[#This Row],[M (KN.mm)]]/(Table1123457913[[#This Row],[a (mm)]]*Table1123457913[[#This Row],[b (mm)]]*Table1123457913[[#This Row],[h (mm)]]*Table1123457913[[#This Row],[L(mm)]]/2)</f>
        <v>1.4439814814814814E-6</v>
      </c>
      <c r="T12" s="111">
        <f>G12/($AL$5*AH12*0.001*Table1123457913[[#This Row],[pho (%)]])</f>
        <v>2.175199637459685E-6</v>
      </c>
      <c r="U12" s="111">
        <f>Table1123457913[[#This Row],[M (KN.mm)]]/(Table1123457913[[#This Row],[b (mm)]]*Table1123457913[[#This Row],[d (mm)]]*Table1123457913[[#This Row],[pho (%)]])</f>
        <v>5.1610590182018754</v>
      </c>
      <c r="V12" s="111">
        <f>E12*224.8/(2*SQRT(Table1123457913[[#This Row],[fc (Mpa)]]*145.037)*Table1123457913[[#This Row],[b (mm)]]*Table1123457913[[#This Row],[d (mm)]]*(1/25.4)^2)</f>
        <v>2.7092833803340004</v>
      </c>
      <c r="W12" s="111">
        <f>Table1123457913[[#This Row],[M (KN.mm)]]/$G$12</f>
        <v>1</v>
      </c>
      <c r="X12" s="111">
        <f t="shared" si="6"/>
        <v>2.7092833803340004</v>
      </c>
      <c r="Y12" s="111">
        <v>1800</v>
      </c>
      <c r="Z12" s="111">
        <v>925</v>
      </c>
      <c r="AA12" s="111">
        <v>1000</v>
      </c>
      <c r="AB12" s="111">
        <v>300</v>
      </c>
      <c r="AC12" s="7">
        <v>39</v>
      </c>
      <c r="AD12" s="111">
        <f>Table1123457913[[#This Row],[pho (%)]]*Table1123457913[[#This Row],[b (mm)]]*Table1123457913[[#This Row],[h (mm)]]/100</f>
        <v>2940</v>
      </c>
      <c r="AE12" s="111">
        <f t="shared" si="4"/>
        <v>0.98</v>
      </c>
      <c r="AF12" s="111">
        <v>525</v>
      </c>
      <c r="AG12" s="111">
        <f>(1/3-0.21*(MIN(Table1123457913[[#This Row],[b (mm)]],AA12)/MAX(Table1123457913[[#This Row],[b (mm)]],AA12))*(MIN(Table1123457913[[#This Row],[b (mm)]],AA12)^4/(12*MAX(Table1123457913[[#This Row],[b (mm)]],AA12)^4)))*MAX(Table1123457913[[#This Row],[b (mm)]],AA12)*MIN(Table1123457913[[#This Row],[b (mm)]],AA12)^3</f>
        <v>8998851825</v>
      </c>
      <c r="AH12" s="111">
        <f>Table1123457913[[#This Row],[b (mm)]]*AA12^3/12</f>
        <v>25000000000</v>
      </c>
      <c r="AI12" s="111">
        <v>3600</v>
      </c>
      <c r="AK12" s="107"/>
    </row>
    <row r="13" spans="1:39" s="129" customFormat="1" x14ac:dyDescent="0.25">
      <c r="A13" s="164" t="s">
        <v>189</v>
      </c>
      <c r="B13" s="281">
        <v>1</v>
      </c>
      <c r="C13" s="281">
        <v>19</v>
      </c>
      <c r="D13" s="275">
        <f>Table1123457913[[#This Row],[a (mm)]]/Table1123457913[[#This Row],[d (mm)]]</f>
        <v>1.6216216216216217</v>
      </c>
      <c r="E13" s="282">
        <f>467/2</f>
        <v>233.5</v>
      </c>
      <c r="F13" s="137">
        <f>Table1123457913[[#This Row],[d (mm)]]</f>
        <v>925</v>
      </c>
      <c r="G13" s="111">
        <f t="shared" si="5"/>
        <v>350250</v>
      </c>
      <c r="H13" s="111">
        <f t="shared" si="0"/>
        <v>5.3195568348819031E-7</v>
      </c>
      <c r="I13" s="111">
        <f>G13/(Table1123457913[[#This Row],[b (mm)]]*Z13^2)</f>
        <v>1.364499634769905E-3</v>
      </c>
      <c r="J13" s="111">
        <f t="shared" si="1"/>
        <v>0.24531820450187797</v>
      </c>
      <c r="K13" s="111">
        <f t="shared" si="2"/>
        <v>8.2636161558133844E-7</v>
      </c>
      <c r="L13" s="111">
        <f>E13/(Table1123457913[[#This Row],[b (mm)]]*Z13)</f>
        <v>8.4144144144144141E-4</v>
      </c>
      <c r="M13" s="111">
        <f>Table1123457913[[#This Row],[M (KN.mm)]]/(Table1123457913[[#This Row],[b (mm)]]*Table1123457913[[#This Row],[d (mm)]])</f>
        <v>1.2621621621621621</v>
      </c>
      <c r="N13" s="111">
        <f>Table1123457913[[#This Row],[M (KN.mm)]]/(Table1123457913[[#This Row],[b (mm)]]*Table1123457913[[#This Row],[h (mm)]])</f>
        <v>1.1675</v>
      </c>
      <c r="O13" s="111">
        <f>Table1123457913[[#This Row],[M (KN.mm)]]/(Table1123457913[[#This Row],[b (mm)]]*Table1123457913[[#This Row],[h (mm)]]*Table1123457913[[#This Row],[L(mm)]])</f>
        <v>3.8916666666666668E-4</v>
      </c>
      <c r="P13" s="111">
        <f>Table1123457913[[#This Row],[M (KN.mm)]]/(Table1123457913[[#This Row],[b (mm)]]*Table1123457913[[#This Row],[d (mm)]]*Table1123457913[[#This Row],[L(mm)]])</f>
        <v>4.207207207207207E-4</v>
      </c>
      <c r="Q13" s="111">
        <f>Table1123457913[[#This Row],[M (KN.mm)]]/(Table1123457913[[#This Row],[b (mm)]]*Table1123457913[[#This Row],[h (mm)]]*Table1123457913[[#This Row],[L(mm)]]*Table1123457913[[#This Row],[fc (Mpa)]])</f>
        <v>9.9786324786324794E-6</v>
      </c>
      <c r="R13" s="111">
        <f>Table1123457913[[#This Row],[M (KN.mm)]]/(Table1123457913[[#This Row],[b (mm)]]*Table1123457913[[#This Row],[h (mm)]]*Table1123457913[[#This Row],[L(mm)]]/2)</f>
        <v>7.7833333333333335E-4</v>
      </c>
      <c r="S13" s="111">
        <f>Table1123457913[[#This Row],[M (KN.mm)]]/(Table1123457913[[#This Row],[a (mm)]]*Table1123457913[[#This Row],[b (mm)]]*Table1123457913[[#This Row],[h (mm)]]*Table1123457913[[#This Row],[L(mm)]]/2)</f>
        <v>5.1888888888888892E-7</v>
      </c>
      <c r="T13" s="111">
        <f>G13/($AL$5*AH13*0.001*Table1123457913[[#This Row],[pho (%)]])</f>
        <v>5.4281192192672483E-7</v>
      </c>
      <c r="U13" s="111">
        <f>Table1123457913[[#This Row],[M (KN.mm)]]/(Table1123457913[[#This Row],[b (mm)]]*Table1123457913[[#This Row],[d (mm)]]*Table1123457913[[#This Row],[pho (%)]])</f>
        <v>1.2879205736348593</v>
      </c>
      <c r="V13" s="111">
        <f>E13*224.8/(2*SQRT(Table1123457913[[#This Row],[fc (Mpa)]]*145.037)*Table1123457913[[#This Row],[b (mm)]]*Table1123457913[[#This Row],[d (mm)]]*(1/25.4)^2)</f>
        <v>0.81130832870534031</v>
      </c>
      <c r="W13" s="111">
        <f>Table1123457913[[#This Row],[M (KN.mm)]]/$G$19</f>
        <v>0.21083521444695261</v>
      </c>
      <c r="X13" s="111">
        <f t="shared" si="6"/>
        <v>0.81130832870534031</v>
      </c>
      <c r="Y13" s="111">
        <v>1500</v>
      </c>
      <c r="Z13" s="111">
        <v>925</v>
      </c>
      <c r="AA13" s="111">
        <v>1000</v>
      </c>
      <c r="AB13" s="111">
        <v>300</v>
      </c>
      <c r="AC13" s="7">
        <v>39</v>
      </c>
      <c r="AD13" s="111">
        <f>Table1123457913[[#This Row],[pho (%)]]*Table1123457913[[#This Row],[b (mm)]]*Table1123457913[[#This Row],[h (mm)]]/100</f>
        <v>2940</v>
      </c>
      <c r="AE13" s="160">
        <f t="shared" si="4"/>
        <v>0.98</v>
      </c>
      <c r="AF13" s="160">
        <v>525</v>
      </c>
      <c r="AG13" s="111">
        <f>(1/3-0.21*(MIN(Table1123457913[[#This Row],[b (mm)]],AA13)/MAX(Table1123457913[[#This Row],[b (mm)]],AA13))*(MIN(Table1123457913[[#This Row],[b (mm)]],AA13)^4/(12*MAX(Table1123457913[[#This Row],[b (mm)]],AA13)^4)))*MAX(Table1123457913[[#This Row],[b (mm)]],AA13)*MIN(Table1123457913[[#This Row],[b (mm)]],AA13)^3</f>
        <v>8998851825</v>
      </c>
      <c r="AH13" s="111">
        <f>Table1123457913[[#This Row],[b (mm)]]*AA13^3/12</f>
        <v>25000000000</v>
      </c>
      <c r="AI13" s="111">
        <v>3000</v>
      </c>
      <c r="AJ13"/>
      <c r="AK13" s="128"/>
      <c r="AL13" s="138"/>
      <c r="AM13" s="1"/>
    </row>
    <row r="14" spans="1:39" s="129" customFormat="1" x14ac:dyDescent="0.25">
      <c r="A14" s="164" t="s">
        <v>189</v>
      </c>
      <c r="B14" s="281">
        <v>2</v>
      </c>
      <c r="C14" s="281">
        <v>20</v>
      </c>
      <c r="D14" s="275">
        <f>Table1123457913[[#This Row],[a (mm)]]/Table1123457913[[#This Row],[d (mm)]]</f>
        <v>1.6216216216216217</v>
      </c>
      <c r="E14" s="282">
        <f>802/2</f>
        <v>401</v>
      </c>
      <c r="F14" s="137">
        <f>Table1123457913[[#This Row],[d (mm)]]</f>
        <v>925</v>
      </c>
      <c r="G14" s="111">
        <f t="shared" si="5"/>
        <v>601500</v>
      </c>
      <c r="H14" s="111">
        <f t="shared" si="0"/>
        <v>9.1355130226451535E-7</v>
      </c>
      <c r="I14" s="111">
        <f>G14/(Table1123457913[[#This Row],[b (mm)]]*Z14^2)</f>
        <v>2.3433162892622351E-3</v>
      </c>
      <c r="J14" s="111">
        <f t="shared" si="1"/>
        <v>0.42129593150001315</v>
      </c>
      <c r="K14" s="111">
        <f t="shared" si="2"/>
        <v>1.4191477852167741E-6</v>
      </c>
      <c r="L14" s="111">
        <f>E14/(Table1123457913[[#This Row],[b (mm)]]*Z14)</f>
        <v>1.445045045045045E-3</v>
      </c>
      <c r="M14" s="111">
        <f>Table1123457913[[#This Row],[M (KN.mm)]]/(Table1123457913[[#This Row],[b (mm)]]*Table1123457913[[#This Row],[d (mm)]])</f>
        <v>2.1675675675675676</v>
      </c>
      <c r="N14" s="111">
        <f>Table1123457913[[#This Row],[M (KN.mm)]]/(Table1123457913[[#This Row],[b (mm)]]*Table1123457913[[#This Row],[h (mm)]])</f>
        <v>2.0049999999999999</v>
      </c>
      <c r="O14" s="111">
        <f>Table1123457913[[#This Row],[M (KN.mm)]]/(Table1123457913[[#This Row],[b (mm)]]*Table1123457913[[#This Row],[h (mm)]]*Table1123457913[[#This Row],[L(mm)]])</f>
        <v>6.6833333333333328E-4</v>
      </c>
      <c r="P14" s="111">
        <f>Table1123457913[[#This Row],[M (KN.mm)]]/(Table1123457913[[#This Row],[b (mm)]]*Table1123457913[[#This Row],[d (mm)]]*Table1123457913[[#This Row],[L(mm)]])</f>
        <v>7.225225225225225E-4</v>
      </c>
      <c r="Q14" s="111">
        <f>Table1123457913[[#This Row],[M (KN.mm)]]/(Table1123457913[[#This Row],[b (mm)]]*Table1123457913[[#This Row],[h (mm)]]*Table1123457913[[#This Row],[L(mm)]]*Table1123457913[[#This Row],[fc (Mpa)]])</f>
        <v>1.7136752136752138E-5</v>
      </c>
      <c r="R14" s="111">
        <f>Table1123457913[[#This Row],[M (KN.mm)]]/(Table1123457913[[#This Row],[b (mm)]]*Table1123457913[[#This Row],[h (mm)]]*Table1123457913[[#This Row],[L(mm)]]/2)</f>
        <v>1.3366666666666666E-3</v>
      </c>
      <c r="S14" s="111">
        <f>Table1123457913[[#This Row],[M (KN.mm)]]/(Table1123457913[[#This Row],[a (mm)]]*Table1123457913[[#This Row],[b (mm)]]*Table1123457913[[#This Row],[h (mm)]]*Table1123457913[[#This Row],[L(mm)]]/2)</f>
        <v>8.9111111111111113E-7</v>
      </c>
      <c r="T14" s="111">
        <f>G14/($AL$5*AH14*0.001*Table1123457913[[#This Row],[pho (%)]])</f>
        <v>9.3219520639236252E-7</v>
      </c>
      <c r="U14" s="111">
        <f>Table1123457913[[#This Row],[M (KN.mm)]]/(Table1123457913[[#This Row],[b (mm)]]*Table1123457913[[#This Row],[d (mm)]]*Table1123457913[[#This Row],[pho (%)]])</f>
        <v>2.2118036403750692</v>
      </c>
      <c r="V14" s="111">
        <f>E14*224.8/(2*SQRT(Table1123457913[[#This Row],[fc (Mpa)]]*145.037)*Table1123457913[[#This Row],[b (mm)]]*Table1123457913[[#This Row],[d (mm)]]*(1/25.4)^2)</f>
        <v>1.393296101973625</v>
      </c>
      <c r="W14" s="111">
        <f>Table1123457913[[#This Row],[M (KN.mm)]]/$G$19</f>
        <v>0.36207674943566592</v>
      </c>
      <c r="X14" s="111">
        <f t="shared" si="6"/>
        <v>1.393296101973625</v>
      </c>
      <c r="Y14" s="111">
        <v>1500</v>
      </c>
      <c r="Z14" s="111">
        <v>925</v>
      </c>
      <c r="AA14" s="111">
        <v>1000</v>
      </c>
      <c r="AB14" s="111">
        <v>300</v>
      </c>
      <c r="AC14" s="7">
        <v>39</v>
      </c>
      <c r="AD14" s="111">
        <f>Table1123457913[[#This Row],[pho (%)]]*Table1123457913[[#This Row],[b (mm)]]*Table1123457913[[#This Row],[h (mm)]]/100</f>
        <v>2940</v>
      </c>
      <c r="AE14" s="160">
        <f t="shared" si="4"/>
        <v>0.98</v>
      </c>
      <c r="AF14" s="160">
        <v>525</v>
      </c>
      <c r="AG14" s="111">
        <f>(1/3-0.21*(MIN(Table1123457913[[#This Row],[b (mm)]],AA14)/MAX(Table1123457913[[#This Row],[b (mm)]],AA14))*(MIN(Table1123457913[[#This Row],[b (mm)]],AA14)^4/(12*MAX(Table1123457913[[#This Row],[b (mm)]],AA14)^4)))*MAX(Table1123457913[[#This Row],[b (mm)]],AA14)*MIN(Table1123457913[[#This Row],[b (mm)]],AA14)^3</f>
        <v>8998851825</v>
      </c>
      <c r="AH14" s="111">
        <f>Table1123457913[[#This Row],[b (mm)]]*AA14^3/12</f>
        <v>25000000000</v>
      </c>
      <c r="AI14" s="111">
        <v>3000</v>
      </c>
      <c r="AJ14"/>
      <c r="AK14" s="128"/>
      <c r="AL14" s="138"/>
      <c r="AM14" s="1"/>
    </row>
    <row r="15" spans="1:39" s="129" customFormat="1" ht="16.5" customHeight="1" x14ac:dyDescent="0.25">
      <c r="A15" s="164" t="s">
        <v>189</v>
      </c>
      <c r="B15" s="281">
        <v>3</v>
      </c>
      <c r="C15" s="281">
        <v>21</v>
      </c>
      <c r="D15" s="275">
        <f>Table1123457913[[#This Row],[a (mm)]]/Table1123457913[[#This Row],[d (mm)]]</f>
        <v>1.6216216216216217</v>
      </c>
      <c r="E15" s="282">
        <f>1105/2</f>
        <v>552.5</v>
      </c>
      <c r="F15" s="137">
        <f>Table1123457913[[#This Row],[d (mm)]]</f>
        <v>925</v>
      </c>
      <c r="G15" s="111">
        <f t="shared" si="5"/>
        <v>828750</v>
      </c>
      <c r="H15" s="111">
        <f t="shared" si="0"/>
        <v>1.2586959962622062E-6</v>
      </c>
      <c r="I15" s="111">
        <f>G15/(Table1123457913[[#This Row],[b (mm)]]*Z15^2)</f>
        <v>3.2286340394448504E-3</v>
      </c>
      <c r="J15" s="111">
        <f t="shared" si="1"/>
        <v>0.58046384576996823</v>
      </c>
      <c r="K15" s="111">
        <f t="shared" si="2"/>
        <v>1.9553096043198695E-6</v>
      </c>
      <c r="L15" s="111">
        <f>E15/(Table1123457913[[#This Row],[b (mm)]]*Z15)</f>
        <v>1.9909909909909909E-3</v>
      </c>
      <c r="M15" s="111">
        <f>Table1123457913[[#This Row],[M (KN.mm)]]/(Table1123457913[[#This Row],[b (mm)]]*Table1123457913[[#This Row],[d (mm)]])</f>
        <v>2.9864864864864864</v>
      </c>
      <c r="N15" s="111">
        <f>Table1123457913[[#This Row],[M (KN.mm)]]/(Table1123457913[[#This Row],[b (mm)]]*Table1123457913[[#This Row],[h (mm)]])</f>
        <v>2.7625000000000002</v>
      </c>
      <c r="O15" s="111">
        <f>Table1123457913[[#This Row],[M (KN.mm)]]/(Table1123457913[[#This Row],[b (mm)]]*Table1123457913[[#This Row],[h (mm)]]*Table1123457913[[#This Row],[L(mm)]])</f>
        <v>9.2083333333333329E-4</v>
      </c>
      <c r="P15" s="111">
        <f>Table1123457913[[#This Row],[M (KN.mm)]]/(Table1123457913[[#This Row],[b (mm)]]*Table1123457913[[#This Row],[d (mm)]]*Table1123457913[[#This Row],[L(mm)]])</f>
        <v>9.9549549549549543E-4</v>
      </c>
      <c r="Q15" s="111">
        <f>Table1123457913[[#This Row],[M (KN.mm)]]/(Table1123457913[[#This Row],[b (mm)]]*Table1123457913[[#This Row],[h (mm)]]*Table1123457913[[#This Row],[L(mm)]]*Table1123457913[[#This Row],[fc (Mpa)]])</f>
        <v>2.3611111111111111E-5</v>
      </c>
      <c r="R15" s="111">
        <f>Table1123457913[[#This Row],[M (KN.mm)]]/(Table1123457913[[#This Row],[b (mm)]]*Table1123457913[[#This Row],[h (mm)]]*Table1123457913[[#This Row],[L(mm)]]/2)</f>
        <v>1.8416666666666666E-3</v>
      </c>
      <c r="S15" s="111">
        <f>Table1123457913[[#This Row],[M (KN.mm)]]/(Table1123457913[[#This Row],[a (mm)]]*Table1123457913[[#This Row],[b (mm)]]*Table1123457913[[#This Row],[h (mm)]]*Table1123457913[[#This Row],[L(mm)]]/2)</f>
        <v>1.2277777777777777E-6</v>
      </c>
      <c r="T15" s="111">
        <f>G15/($AL$5*AH15*0.001*Table1123457913[[#This Row],[pho (%)]])</f>
        <v>1.2843836696553124E-6</v>
      </c>
      <c r="U15" s="111">
        <f>Table1123457913[[#This Row],[M (KN.mm)]]/(Table1123457913[[#This Row],[b (mm)]]*Table1123457913[[#This Row],[d (mm)]]*Table1123457913[[#This Row],[pho (%)]])</f>
        <v>3.0474351902923331</v>
      </c>
      <c r="V15" s="111">
        <f>E15*224.8/(2*SQRT(Table1123457913[[#This Row],[fc (Mpa)]]*145.037)*Table1123457913[[#This Row],[b (mm)]]*Table1123457913[[#This Row],[d (mm)]]*(1/25.4)^2)</f>
        <v>1.9196910133177751</v>
      </c>
      <c r="W15" s="111">
        <f>Table1123457913[[#This Row],[M (KN.mm)]]/$G$19</f>
        <v>0.49887133182844245</v>
      </c>
      <c r="X15" s="111">
        <f t="shared" si="6"/>
        <v>1.9196910133177751</v>
      </c>
      <c r="Y15" s="111">
        <v>1500</v>
      </c>
      <c r="Z15" s="111">
        <v>925</v>
      </c>
      <c r="AA15" s="111">
        <v>1000</v>
      </c>
      <c r="AB15" s="111">
        <v>300</v>
      </c>
      <c r="AC15" s="7">
        <v>39</v>
      </c>
      <c r="AD15" s="111">
        <f>Table1123457913[[#This Row],[pho (%)]]*Table1123457913[[#This Row],[b (mm)]]*Table1123457913[[#This Row],[h (mm)]]/100</f>
        <v>2940</v>
      </c>
      <c r="AE15" s="160">
        <f t="shared" si="4"/>
        <v>0.98</v>
      </c>
      <c r="AF15" s="160">
        <v>525</v>
      </c>
      <c r="AG15" s="111">
        <f>(1/3-0.21*(MIN(Table1123457913[[#This Row],[b (mm)]],AA15)/MAX(Table1123457913[[#This Row],[b (mm)]],AA15))*(MIN(Table1123457913[[#This Row],[b (mm)]],AA15)^4/(12*MAX(Table1123457913[[#This Row],[b (mm)]],AA15)^4)))*MAX(Table1123457913[[#This Row],[b (mm)]],AA15)*MIN(Table1123457913[[#This Row],[b (mm)]],AA15)^3</f>
        <v>8998851825</v>
      </c>
      <c r="AH15" s="111">
        <f>Table1123457913[[#This Row],[b (mm)]]*AA15^3/12</f>
        <v>25000000000</v>
      </c>
      <c r="AI15" s="111">
        <v>3000</v>
      </c>
      <c r="AJ15"/>
      <c r="AK15" s="138"/>
      <c r="AL15" s="138"/>
      <c r="AM15" s="1"/>
    </row>
    <row r="16" spans="1:39" s="129" customFormat="1" x14ac:dyDescent="0.25">
      <c r="A16" s="164" t="s">
        <v>189</v>
      </c>
      <c r="B16" s="281">
        <v>4</v>
      </c>
      <c r="C16" s="281">
        <v>22</v>
      </c>
      <c r="D16" s="275">
        <f>Table1123457913[[#This Row],[a (mm)]]/Table1123457913[[#This Row],[d (mm)]]</f>
        <v>1.6216216216216217</v>
      </c>
      <c r="E16" s="282">
        <f>1432/2</f>
        <v>716</v>
      </c>
      <c r="F16" s="137">
        <f>Table1123457913[[#This Row],[d (mm)]]</f>
        <v>925</v>
      </c>
      <c r="G16" s="111">
        <f t="shared" si="5"/>
        <v>1074000</v>
      </c>
      <c r="H16" s="111">
        <f t="shared" si="0"/>
        <v>1.6311788838438728E-6</v>
      </c>
      <c r="I16" s="111">
        <f>G16/(Table1123457913[[#This Row],[b (mm)]]*Z16^2)</f>
        <v>4.1840759678597513E-3</v>
      </c>
      <c r="J16" s="111">
        <f t="shared" si="1"/>
        <v>0.75223911958605838</v>
      </c>
      <c r="K16" s="111">
        <f t="shared" si="2"/>
        <v>2.53393968632222E-6</v>
      </c>
      <c r="L16" s="111">
        <f>E16/(Table1123457913[[#This Row],[b (mm)]]*Z16)</f>
        <v>2.5801801801801803E-3</v>
      </c>
      <c r="M16" s="111">
        <f>Table1123457913[[#This Row],[M (KN.mm)]]/(Table1123457913[[#This Row],[b (mm)]]*Table1123457913[[#This Row],[d (mm)]])</f>
        <v>3.8702702702702703</v>
      </c>
      <c r="N16" s="111">
        <f>Table1123457913[[#This Row],[M (KN.mm)]]/(Table1123457913[[#This Row],[b (mm)]]*Table1123457913[[#This Row],[h (mm)]])</f>
        <v>3.58</v>
      </c>
      <c r="O16" s="111">
        <f>Table1123457913[[#This Row],[M (KN.mm)]]/(Table1123457913[[#This Row],[b (mm)]]*Table1123457913[[#This Row],[h (mm)]]*Table1123457913[[#This Row],[L(mm)]])</f>
        <v>1.1933333333333334E-3</v>
      </c>
      <c r="P16" s="111">
        <f>Table1123457913[[#This Row],[M (KN.mm)]]/(Table1123457913[[#This Row],[b (mm)]]*Table1123457913[[#This Row],[d (mm)]]*Table1123457913[[#This Row],[L(mm)]])</f>
        <v>1.2900900900900901E-3</v>
      </c>
      <c r="Q16" s="111">
        <f>Table1123457913[[#This Row],[M (KN.mm)]]/(Table1123457913[[#This Row],[b (mm)]]*Table1123457913[[#This Row],[h (mm)]]*Table1123457913[[#This Row],[L(mm)]]*Table1123457913[[#This Row],[fc (Mpa)]])</f>
        <v>3.0598290598290596E-5</v>
      </c>
      <c r="R16" s="111">
        <f>Table1123457913[[#This Row],[M (KN.mm)]]/(Table1123457913[[#This Row],[b (mm)]]*Table1123457913[[#This Row],[h (mm)]]*Table1123457913[[#This Row],[L(mm)]]/2)</f>
        <v>2.3866666666666667E-3</v>
      </c>
      <c r="S16" s="111">
        <f>Table1123457913[[#This Row],[M (KN.mm)]]/(Table1123457913[[#This Row],[a (mm)]]*Table1123457913[[#This Row],[b (mm)]]*Table1123457913[[#This Row],[h (mm)]]*Table1123457913[[#This Row],[L(mm)]]/2)</f>
        <v>1.5911111111111111E-6</v>
      </c>
      <c r="T16" s="111">
        <f>G16/($AL$5*AH16*0.001*Table1123457913[[#This Row],[pho (%)]])</f>
        <v>1.6644682488202783E-6</v>
      </c>
      <c r="U16" s="111">
        <f>Table1123457913[[#This Row],[M (KN.mm)]]/(Table1123457913[[#This Row],[b (mm)]]*Table1123457913[[#This Row],[d (mm)]]*Table1123457913[[#This Row],[pho (%)]])</f>
        <v>3.9492553778268062</v>
      </c>
      <c r="V16" s="111">
        <f>E16*224.8/(2*SQRT(Table1123457913[[#This Row],[fc (Mpa)]]*145.037)*Table1123457913[[#This Row],[b (mm)]]*Table1123457913[[#This Row],[d (mm)]]*(1/25.4)^2)</f>
        <v>2.4877805711050263</v>
      </c>
      <c r="W16" s="111">
        <f>Table1123457913[[#This Row],[M (KN.mm)]]/$G$19</f>
        <v>0.64650112866817155</v>
      </c>
      <c r="X16" s="111">
        <f t="shared" si="6"/>
        <v>2.4877805711050263</v>
      </c>
      <c r="Y16" s="111">
        <v>1500</v>
      </c>
      <c r="Z16" s="111">
        <v>925</v>
      </c>
      <c r="AA16" s="111">
        <v>1000</v>
      </c>
      <c r="AB16" s="111">
        <v>300</v>
      </c>
      <c r="AC16" s="7">
        <v>39</v>
      </c>
      <c r="AD16" s="111">
        <f>Table1123457913[[#This Row],[pho (%)]]*Table1123457913[[#This Row],[b (mm)]]*Table1123457913[[#This Row],[h (mm)]]/100</f>
        <v>2940</v>
      </c>
      <c r="AE16" s="160">
        <f t="shared" si="4"/>
        <v>0.98</v>
      </c>
      <c r="AF16" s="160">
        <v>525</v>
      </c>
      <c r="AG16" s="111">
        <f>(1/3-0.21*(MIN(Table1123457913[[#This Row],[b (mm)]],AA16)/MAX(Table1123457913[[#This Row],[b (mm)]],AA16))*(MIN(Table1123457913[[#This Row],[b (mm)]],AA16)^4/(12*MAX(Table1123457913[[#This Row],[b (mm)]],AA16)^4)))*MAX(Table1123457913[[#This Row],[b (mm)]],AA16)*MIN(Table1123457913[[#This Row],[b (mm)]],AA16)^3</f>
        <v>8998851825</v>
      </c>
      <c r="AH16" s="111">
        <f>Table1123457913[[#This Row],[b (mm)]]*AA16^3/12</f>
        <v>25000000000</v>
      </c>
      <c r="AI16" s="111">
        <v>3000</v>
      </c>
      <c r="AJ16"/>
      <c r="AK16" s="138"/>
      <c r="AL16" s="138"/>
      <c r="AM16" s="1"/>
    </row>
    <row r="17" spans="1:44" s="129" customFormat="1" x14ac:dyDescent="0.25">
      <c r="A17" s="164" t="s">
        <v>189</v>
      </c>
      <c r="B17" s="281">
        <v>5</v>
      </c>
      <c r="C17" s="281">
        <v>23</v>
      </c>
      <c r="D17" s="275">
        <f>Table1123457913[[#This Row],[a (mm)]]/Table1123457913[[#This Row],[d (mm)]]</f>
        <v>1.6216216216216217</v>
      </c>
      <c r="E17" s="282">
        <f>1711/2</f>
        <v>855.5</v>
      </c>
      <c r="F17" s="137">
        <f>Table1123457913[[#This Row],[d (mm)]]</f>
        <v>925</v>
      </c>
      <c r="G17" s="111">
        <f t="shared" si="5"/>
        <v>1283250</v>
      </c>
      <c r="H17" s="111">
        <f t="shared" si="0"/>
        <v>1.948985384257588E-6</v>
      </c>
      <c r="I17" s="111">
        <f>G17/(Table1123457913[[#This Row],[b (mm)]]*Z17^2)</f>
        <v>4.9992695398100801E-3</v>
      </c>
      <c r="J17" s="111">
        <f t="shared" si="1"/>
        <v>0.89879967430987839</v>
      </c>
      <c r="K17" s="111">
        <f t="shared" si="2"/>
        <v>3.0276332425260601E-6</v>
      </c>
      <c r="L17" s="111">
        <f>E17/(Table1123457913[[#This Row],[b (mm)]]*Z17)</f>
        <v>3.082882882882883E-3</v>
      </c>
      <c r="M17" s="111">
        <f>Table1123457913[[#This Row],[M (KN.mm)]]/(Table1123457913[[#This Row],[b (mm)]]*Table1123457913[[#This Row],[d (mm)]])</f>
        <v>4.6243243243243244</v>
      </c>
      <c r="N17" s="111">
        <f>Table1123457913[[#This Row],[M (KN.mm)]]/(Table1123457913[[#This Row],[b (mm)]]*Table1123457913[[#This Row],[h (mm)]])</f>
        <v>4.2774999999999999</v>
      </c>
      <c r="O17" s="111">
        <f>Table1123457913[[#This Row],[M (KN.mm)]]/(Table1123457913[[#This Row],[b (mm)]]*Table1123457913[[#This Row],[h (mm)]]*Table1123457913[[#This Row],[L(mm)]])</f>
        <v>1.4258333333333334E-3</v>
      </c>
      <c r="P17" s="111">
        <f>Table1123457913[[#This Row],[M (KN.mm)]]/(Table1123457913[[#This Row],[b (mm)]]*Table1123457913[[#This Row],[d (mm)]]*Table1123457913[[#This Row],[L(mm)]])</f>
        <v>1.5414414414414415E-3</v>
      </c>
      <c r="Q17" s="111">
        <f>Table1123457913[[#This Row],[M (KN.mm)]]/(Table1123457913[[#This Row],[b (mm)]]*Table1123457913[[#This Row],[h (mm)]]*Table1123457913[[#This Row],[L(mm)]]*Table1123457913[[#This Row],[fc (Mpa)]])</f>
        <v>3.6559829059829062E-5</v>
      </c>
      <c r="R17" s="111">
        <f>Table1123457913[[#This Row],[M (KN.mm)]]/(Table1123457913[[#This Row],[b (mm)]]*Table1123457913[[#This Row],[h (mm)]]*Table1123457913[[#This Row],[L(mm)]]/2)</f>
        <v>2.8516666666666668E-3</v>
      </c>
      <c r="S17" s="111">
        <f>Table1123457913[[#This Row],[M (KN.mm)]]/(Table1123457913[[#This Row],[a (mm)]]*Table1123457913[[#This Row],[b (mm)]]*Table1123457913[[#This Row],[h (mm)]]*Table1123457913[[#This Row],[L(mm)]]/2)</f>
        <v>1.9011111111111111E-6</v>
      </c>
      <c r="T17" s="111">
        <f>G17/($AL$5*AH17*0.001*Table1123457913[[#This Row],[pho (%)]])</f>
        <v>1.9887605961812122E-6</v>
      </c>
      <c r="U17" s="111">
        <f>Table1123457913[[#This Row],[M (KN.mm)]]/(Table1123457913[[#This Row],[b (mm)]]*Table1123457913[[#This Row],[d (mm)]]*Table1123457913[[#This Row],[pho (%)]])</f>
        <v>4.7186982901268619</v>
      </c>
      <c r="V17" s="111">
        <f>E17*224.8/(2*SQRT(Table1123457913[[#This Row],[fc (Mpa)]]*145.037)*Table1123457913[[#This Row],[b (mm)]]*Table1123457913[[#This Row],[d (mm)]]*(1/25.4)^2)</f>
        <v>2.9724808360060755</v>
      </c>
      <c r="W17" s="111">
        <f>Table1123457913[[#This Row],[M (KN.mm)]]/$G$19</f>
        <v>0.77246049661399552</v>
      </c>
      <c r="X17" s="111">
        <f t="shared" si="6"/>
        <v>2.9724808360060755</v>
      </c>
      <c r="Y17" s="111">
        <v>1500</v>
      </c>
      <c r="Z17" s="111">
        <v>925</v>
      </c>
      <c r="AA17" s="111">
        <v>1000</v>
      </c>
      <c r="AB17" s="111">
        <v>300</v>
      </c>
      <c r="AC17" s="7">
        <v>39</v>
      </c>
      <c r="AD17" s="111">
        <f>Table1123457913[[#This Row],[pho (%)]]*Table1123457913[[#This Row],[b (mm)]]*Table1123457913[[#This Row],[h (mm)]]/100</f>
        <v>2940</v>
      </c>
      <c r="AE17" s="160">
        <f t="shared" si="4"/>
        <v>0.98</v>
      </c>
      <c r="AF17" s="160">
        <v>525</v>
      </c>
      <c r="AG17" s="111">
        <f>(1/3-0.21*(MIN(Table1123457913[[#This Row],[b (mm)]],AA17)/MAX(Table1123457913[[#This Row],[b (mm)]],AA17))*(MIN(Table1123457913[[#This Row],[b (mm)]],AA17)^4/(12*MAX(Table1123457913[[#This Row],[b (mm)]],AA17)^4)))*MAX(Table1123457913[[#This Row],[b (mm)]],AA17)*MIN(Table1123457913[[#This Row],[b (mm)]],AA17)^3</f>
        <v>8998851825</v>
      </c>
      <c r="AH17" s="111">
        <f>Table1123457913[[#This Row],[b (mm)]]*AA17^3/12</f>
        <v>25000000000</v>
      </c>
      <c r="AI17" s="111">
        <v>3000</v>
      </c>
      <c r="AJ17"/>
      <c r="AK17" s="138"/>
      <c r="AL17" s="138"/>
      <c r="AM17" s="1"/>
    </row>
    <row r="18" spans="1:44" s="129" customFormat="1" x14ac:dyDescent="0.25">
      <c r="A18" s="164" t="s">
        <v>189</v>
      </c>
      <c r="B18" s="281">
        <v>6</v>
      </c>
      <c r="C18" s="281">
        <v>24</v>
      </c>
      <c r="D18" s="275">
        <f>Table1123457913[[#This Row],[a (mm)]]/Table1123457913[[#This Row],[d (mm)]]</f>
        <v>1.6216216216216217</v>
      </c>
      <c r="E18" s="282">
        <f>2009/2</f>
        <v>1004.5</v>
      </c>
      <c r="F18" s="137">
        <f>Table1123457913[[#This Row],[d (mm)]]</f>
        <v>925</v>
      </c>
      <c r="G18" s="111">
        <f t="shared" si="5"/>
        <v>1506750</v>
      </c>
      <c r="H18" s="111">
        <f t="shared" si="0"/>
        <v>2.2884346212586175E-6</v>
      </c>
      <c r="I18" s="111">
        <f>G18/(Table1123457913[[#This Row],[b (mm)]]*Z18^2)</f>
        <v>5.8699780861943022E-3</v>
      </c>
      <c r="J18" s="111">
        <f t="shared" si="1"/>
        <v>1.0553410553410554</v>
      </c>
      <c r="K18" s="111">
        <f t="shared" si="2"/>
        <v>3.5549475068584774E-6</v>
      </c>
      <c r="L18" s="111">
        <f>E18/(Table1123457913[[#This Row],[b (mm)]]*Z18)</f>
        <v>3.6198198198198199E-3</v>
      </c>
      <c r="M18" s="111">
        <f>Table1123457913[[#This Row],[M (KN.mm)]]/(Table1123457913[[#This Row],[b (mm)]]*Table1123457913[[#This Row],[d (mm)]])</f>
        <v>5.42972972972973</v>
      </c>
      <c r="N18" s="111">
        <f>Table1123457913[[#This Row],[M (KN.mm)]]/(Table1123457913[[#This Row],[b (mm)]]*Table1123457913[[#This Row],[h (mm)]])</f>
        <v>5.0225</v>
      </c>
      <c r="O18" s="111">
        <f>Table1123457913[[#This Row],[M (KN.mm)]]/(Table1123457913[[#This Row],[b (mm)]]*Table1123457913[[#This Row],[h (mm)]]*Table1123457913[[#This Row],[L(mm)]])</f>
        <v>1.6741666666666667E-3</v>
      </c>
      <c r="P18" s="111">
        <f>Table1123457913[[#This Row],[M (KN.mm)]]/(Table1123457913[[#This Row],[b (mm)]]*Table1123457913[[#This Row],[d (mm)]]*Table1123457913[[#This Row],[L(mm)]])</f>
        <v>1.80990990990991E-3</v>
      </c>
      <c r="Q18" s="111">
        <f>Table1123457913[[#This Row],[M (KN.mm)]]/(Table1123457913[[#This Row],[b (mm)]]*Table1123457913[[#This Row],[h (mm)]]*Table1123457913[[#This Row],[L(mm)]]*Table1123457913[[#This Row],[fc (Mpa)]])</f>
        <v>4.2927350427350424E-5</v>
      </c>
      <c r="R18" s="111">
        <f>Table1123457913[[#This Row],[M (KN.mm)]]/(Table1123457913[[#This Row],[b (mm)]]*Table1123457913[[#This Row],[h (mm)]]*Table1123457913[[#This Row],[L(mm)]]/2)</f>
        <v>3.3483333333333334E-3</v>
      </c>
      <c r="S18" s="111">
        <f>Table1123457913[[#This Row],[M (KN.mm)]]/(Table1123457913[[#This Row],[a (mm)]]*Table1123457913[[#This Row],[b (mm)]]*Table1123457913[[#This Row],[h (mm)]]*Table1123457913[[#This Row],[L(mm)]]/2)</f>
        <v>2.2322222222222224E-6</v>
      </c>
      <c r="T18" s="111">
        <f>G18/($AL$5*AH18*0.001*Table1123457913[[#This Row],[pho (%)]])</f>
        <v>2.3351373686312423E-6</v>
      </c>
      <c r="U18" s="111">
        <f>Table1123457913[[#This Row],[M (KN.mm)]]/(Table1123457913[[#This Row],[b (mm)]]*Table1123457913[[#This Row],[d (mm)]]*Table1123457913[[#This Row],[pho (%)]])</f>
        <v>5.5405405405405403</v>
      </c>
      <c r="V18" s="111">
        <f>E18*224.8/(2*SQRT(Table1123457913[[#This Row],[fc (Mpa)]]*145.037)*Table1123457913[[#This Row],[b (mm)]]*Table1123457913[[#This Row],[d (mm)]]*(1/25.4)^2)</f>
        <v>3.4901893626745792</v>
      </c>
      <c r="W18" s="111">
        <f>Table1123457913[[#This Row],[M (KN.mm)]]/$G$19</f>
        <v>0.90699774266365685</v>
      </c>
      <c r="X18" s="111">
        <f t="shared" si="6"/>
        <v>3.4901893626745792</v>
      </c>
      <c r="Y18" s="111">
        <v>1500</v>
      </c>
      <c r="Z18" s="111">
        <v>925</v>
      </c>
      <c r="AA18" s="111">
        <v>1000</v>
      </c>
      <c r="AB18" s="111">
        <v>300</v>
      </c>
      <c r="AC18" s="7">
        <v>39</v>
      </c>
      <c r="AD18" s="111">
        <f>Table1123457913[[#This Row],[pho (%)]]*Table1123457913[[#This Row],[b (mm)]]*Table1123457913[[#This Row],[h (mm)]]/100</f>
        <v>2940</v>
      </c>
      <c r="AE18" s="160">
        <f t="shared" si="4"/>
        <v>0.98</v>
      </c>
      <c r="AF18" s="160">
        <v>525</v>
      </c>
      <c r="AG18" s="111">
        <f>(1/3-0.21*(MIN(Table1123457913[[#This Row],[b (mm)]],AA18)/MAX(Table1123457913[[#This Row],[b (mm)]],AA18))*(MIN(Table1123457913[[#This Row],[b (mm)]],AA18)^4/(12*MAX(Table1123457913[[#This Row],[b (mm)]],AA18)^4)))*MAX(Table1123457913[[#This Row],[b (mm)]],AA18)*MIN(Table1123457913[[#This Row],[b (mm)]],AA18)^3</f>
        <v>8998851825</v>
      </c>
      <c r="AH18" s="111">
        <f>Table1123457913[[#This Row],[b (mm)]]*AA18^3/12</f>
        <v>25000000000</v>
      </c>
      <c r="AI18" s="111">
        <v>3000</v>
      </c>
      <c r="AJ18"/>
      <c r="AK18" s="138"/>
      <c r="AL18" s="138"/>
      <c r="AM18" s="1"/>
    </row>
    <row r="19" spans="1:44" s="129" customFormat="1" x14ac:dyDescent="0.25">
      <c r="A19" s="164" t="s">
        <v>189</v>
      </c>
      <c r="B19" s="281" t="s">
        <v>141</v>
      </c>
      <c r="C19" s="281">
        <v>25</v>
      </c>
      <c r="D19" s="275">
        <f>Table1123457913[[#This Row],[a (mm)]]/Table1123457913[[#This Row],[d (mm)]]</f>
        <v>1.6216216216216217</v>
      </c>
      <c r="E19" s="282">
        <f>2215/2</f>
        <v>1107.5</v>
      </c>
      <c r="F19" s="137">
        <f>Table1123457913[[#This Row],[d (mm)]]</f>
        <v>925</v>
      </c>
      <c r="G19" s="111">
        <f t="shared" si="5"/>
        <v>1661250</v>
      </c>
      <c r="H19" s="111">
        <f t="shared" si="0"/>
        <v>2.5230874495210741E-6</v>
      </c>
      <c r="I19" s="111">
        <f>G19/(Table1123457913[[#This Row],[b (mm)]]*Z19^2)</f>
        <v>6.4718772826880934E-3</v>
      </c>
      <c r="J19" s="111">
        <f t="shared" si="1"/>
        <v>1.1635542247787145</v>
      </c>
      <c r="K19" s="111">
        <f t="shared" si="2"/>
        <v>3.9194667634104173E-6</v>
      </c>
      <c r="L19" s="111">
        <f>E19/(Table1123457913[[#This Row],[b (mm)]]*Z19)</f>
        <v>3.9909909909909913E-3</v>
      </c>
      <c r="M19" s="111">
        <f>Table1123457913[[#This Row],[M (KN.mm)]]/(Table1123457913[[#This Row],[b (mm)]]*Table1123457913[[#This Row],[d (mm)]])</f>
        <v>5.9864864864864868</v>
      </c>
      <c r="N19" s="111">
        <f>Table1123457913[[#This Row],[M (KN.mm)]]/(Table1123457913[[#This Row],[b (mm)]]*Table1123457913[[#This Row],[h (mm)]])</f>
        <v>5.5374999999999996</v>
      </c>
      <c r="O19" s="111">
        <f>Table1123457913[[#This Row],[M (KN.mm)]]/(Table1123457913[[#This Row],[b (mm)]]*Table1123457913[[#This Row],[h (mm)]]*Table1123457913[[#This Row],[L(mm)]])</f>
        <v>1.8458333333333334E-3</v>
      </c>
      <c r="P19" s="111">
        <f>Table1123457913[[#This Row],[M (KN.mm)]]/(Table1123457913[[#This Row],[b (mm)]]*Table1123457913[[#This Row],[d (mm)]]*Table1123457913[[#This Row],[L(mm)]])</f>
        <v>1.9954954954954957E-3</v>
      </c>
      <c r="Q19" s="111">
        <f>Table1123457913[[#This Row],[M (KN.mm)]]/(Table1123457913[[#This Row],[b (mm)]]*Table1123457913[[#This Row],[h (mm)]]*Table1123457913[[#This Row],[L(mm)]]*Table1123457913[[#This Row],[fc (Mpa)]])</f>
        <v>4.7329059829059831E-5</v>
      </c>
      <c r="R19" s="111">
        <f>Table1123457913[[#This Row],[M (KN.mm)]]/(Table1123457913[[#This Row],[b (mm)]]*Table1123457913[[#This Row],[h (mm)]]*Table1123457913[[#This Row],[L(mm)]]/2)</f>
        <v>3.6916666666666669E-3</v>
      </c>
      <c r="S19" s="111">
        <f>Table1123457913[[#This Row],[M (KN.mm)]]/(Table1123457913[[#This Row],[a (mm)]]*Table1123457913[[#This Row],[b (mm)]]*Table1123457913[[#This Row],[h (mm)]]*Table1123457913[[#This Row],[L(mm)]]/2)</f>
        <v>2.461111111111111E-6</v>
      </c>
      <c r="T19" s="111">
        <f>G19/($AL$5*AH19*0.001*Table1123457913[[#This Row],[pho (%)]])</f>
        <v>2.5745790301235451E-6</v>
      </c>
      <c r="U19" s="111">
        <f>Table1123457913[[#This Row],[M (KN.mm)]]/(Table1123457913[[#This Row],[b (mm)]]*Table1123457913[[#This Row],[d (mm)]]*Table1123457913[[#This Row],[pho (%)]])</f>
        <v>6.1086596800882518</v>
      </c>
      <c r="V19" s="111">
        <f>E19*224.8/(2*SQRT(Table1123457913[[#This Row],[fc (Mpa)]]*145.037)*Table1123457913[[#This Row],[b (mm)]]*Table1123457913[[#This Row],[d (mm)]]*(1/25.4)^2)</f>
        <v>3.8480684113111963</v>
      </c>
      <c r="W19" s="111">
        <f>Table1123457913[[#This Row],[M (KN.mm)]]/$G$19</f>
        <v>1</v>
      </c>
      <c r="X19" s="111">
        <f t="shared" si="6"/>
        <v>3.8480684113111963</v>
      </c>
      <c r="Y19" s="111">
        <v>1500</v>
      </c>
      <c r="Z19" s="111">
        <v>925</v>
      </c>
      <c r="AA19" s="111">
        <v>1000</v>
      </c>
      <c r="AB19" s="111">
        <v>300</v>
      </c>
      <c r="AC19" s="7">
        <v>39</v>
      </c>
      <c r="AD19" s="111">
        <f>Table1123457913[[#This Row],[pho (%)]]*Table1123457913[[#This Row],[b (mm)]]*Table1123457913[[#This Row],[h (mm)]]/100</f>
        <v>2940</v>
      </c>
      <c r="AE19" s="160">
        <f t="shared" si="4"/>
        <v>0.98</v>
      </c>
      <c r="AF19" s="160">
        <v>525</v>
      </c>
      <c r="AG19" s="111">
        <f>(1/3-0.21*(MIN(Table1123457913[[#This Row],[b (mm)]],AA19)/MAX(Table1123457913[[#This Row],[b (mm)]],AA19))*(MIN(Table1123457913[[#This Row],[b (mm)]],AA19)^4/(12*MAX(Table1123457913[[#This Row],[b (mm)]],AA19)^4)))*MAX(Table1123457913[[#This Row],[b (mm)]],AA19)*MIN(Table1123457913[[#This Row],[b (mm)]],AA19)^3</f>
        <v>8998851825</v>
      </c>
      <c r="AH19" s="111">
        <f>Table1123457913[[#This Row],[b (mm)]]*AA19^3/12</f>
        <v>25000000000</v>
      </c>
      <c r="AI19" s="111">
        <v>3000</v>
      </c>
      <c r="AJ19"/>
      <c r="AK19" s="138"/>
      <c r="AL19" s="138"/>
      <c r="AM19" s="1"/>
    </row>
    <row r="20" spans="1:44" s="129" customFormat="1" x14ac:dyDescent="0.25">
      <c r="A20" s="150" t="s">
        <v>190</v>
      </c>
      <c r="B20" s="283">
        <v>1</v>
      </c>
      <c r="C20" s="283">
        <v>26</v>
      </c>
      <c r="D20" s="275">
        <f>Table1123457913[[#This Row],[a (mm)]]/Table1123457913[[#This Row],[d (mm)]]</f>
        <v>2.5945945945945947</v>
      </c>
      <c r="E20" s="284">
        <f>450.9/2</f>
        <v>225.45</v>
      </c>
      <c r="F20" s="137">
        <f>Table1123457913[[#This Row],[d (mm)]]</f>
        <v>925</v>
      </c>
      <c r="G20" s="111">
        <f t="shared" si="5"/>
        <v>541080</v>
      </c>
      <c r="H20" s="111">
        <f t="shared" si="0"/>
        <v>8.2178609913430415E-7</v>
      </c>
      <c r="I20" s="111">
        <f>G20/(Table1123457913[[#This Row],[b (mm)]]*Z20^2)</f>
        <v>2.1079327976625275E-3</v>
      </c>
      <c r="J20" s="111">
        <f t="shared" si="1"/>
        <v>0.37897722795681982</v>
      </c>
      <c r="K20" s="111">
        <f t="shared" si="2"/>
        <v>7.9787248921975482E-7</v>
      </c>
      <c r="L20" s="111">
        <f>E20/(Table1123457913[[#This Row],[b (mm)]]*Z20)</f>
        <v>8.1243243243243239E-4</v>
      </c>
      <c r="M20" s="111">
        <f>Table1123457913[[#This Row],[M (KN.mm)]]/(Table1123457913[[#This Row],[b (mm)]]*Table1123457913[[#This Row],[d (mm)]])</f>
        <v>1.9498378378378378</v>
      </c>
      <c r="N20" s="111">
        <f>Table1123457913[[#This Row],[M (KN.mm)]]/(Table1123457913[[#This Row],[b (mm)]]*Table1123457913[[#This Row],[h (mm)]])</f>
        <v>1.8036000000000001</v>
      </c>
      <c r="O20" s="111">
        <f>Table1123457913[[#This Row],[M (KN.mm)]]/(Table1123457913[[#This Row],[b (mm)]]*Table1123457913[[#This Row],[h (mm)]]*Table1123457913[[#This Row],[L(mm)]])</f>
        <v>3.7575E-4</v>
      </c>
      <c r="P20" s="111">
        <f>Table1123457913[[#This Row],[M (KN.mm)]]/(Table1123457913[[#This Row],[b (mm)]]*Table1123457913[[#This Row],[d (mm)]]*Table1123457913[[#This Row],[L(mm)]])</f>
        <v>4.062162162162162E-4</v>
      </c>
      <c r="Q20" s="111">
        <f>Table1123457913[[#This Row],[M (KN.mm)]]/(Table1123457913[[#This Row],[b (mm)]]*Table1123457913[[#This Row],[h (mm)]]*Table1123457913[[#This Row],[L(mm)]]*Table1123457913[[#This Row],[fc (Mpa)]])</f>
        <v>8.3499999999999997E-6</v>
      </c>
      <c r="R20" s="111">
        <f>Table1123457913[[#This Row],[M (KN.mm)]]/(Table1123457913[[#This Row],[b (mm)]]*Table1123457913[[#This Row],[h (mm)]]*Table1123457913[[#This Row],[L(mm)]]/2)</f>
        <v>7.515E-4</v>
      </c>
      <c r="S20" s="111">
        <f>Table1123457913[[#This Row],[M (KN.mm)]]/(Table1123457913[[#This Row],[a (mm)]]*Table1123457913[[#This Row],[b (mm)]]*Table1123457913[[#This Row],[h (mm)]]*Table1123457913[[#This Row],[L(mm)]]/2)</f>
        <v>3.1312500000000002E-7</v>
      </c>
      <c r="T20" s="111">
        <f>G20/($AL$5*AH20*0.001*Table1123457913[[#This Row],[pho (%)]])</f>
        <v>8.3855724401459609E-7</v>
      </c>
      <c r="U20" s="111">
        <f>Table1123457913[[#This Row],[M (KN.mm)]]/(Table1123457913[[#This Row],[b (mm)]]*Table1123457913[[#This Row],[d (mm)]]*Table1123457913[[#This Row],[pho (%)]])</f>
        <v>1.9896304467733039</v>
      </c>
      <c r="V20" s="111">
        <f>E20*224.8/(2*SQRT(Table1123457913[[#This Row],[fc (Mpa)]]*145.037)*Table1123457913[[#This Row],[b (mm)]]*Table1123457913[[#This Row],[d (mm)]]*(1/25.4)^2)</f>
        <v>0.7292481494681029</v>
      </c>
      <c r="W20" s="111">
        <f>Table1123457913[[#This Row],[M (KN.mm)]]/$G$27</f>
        <v>0.27277676950998186</v>
      </c>
      <c r="X20" s="111">
        <f t="shared" si="6"/>
        <v>0.7292481494681029</v>
      </c>
      <c r="Y20" s="111">
        <v>2400</v>
      </c>
      <c r="Z20" s="111">
        <v>925</v>
      </c>
      <c r="AA20" s="111">
        <v>1000</v>
      </c>
      <c r="AB20" s="111">
        <v>300</v>
      </c>
      <c r="AC20" s="7">
        <v>45</v>
      </c>
      <c r="AD20" s="111">
        <f>Table1123457913[[#This Row],[pho (%)]]*Table1123457913[[#This Row],[b (mm)]]*Table1123457913[[#This Row],[h (mm)]]/100</f>
        <v>2940</v>
      </c>
      <c r="AE20" s="160">
        <f t="shared" si="4"/>
        <v>0.98</v>
      </c>
      <c r="AF20" s="160">
        <v>525</v>
      </c>
      <c r="AG20" s="111">
        <f>(1/3-0.21*(MIN(Table1123457913[[#This Row],[b (mm)]],AA20)/MAX(Table1123457913[[#This Row],[b (mm)]],AA20))*(MIN(Table1123457913[[#This Row],[b (mm)]],AA20)^4/(12*MAX(Table1123457913[[#This Row],[b (mm)]],AA20)^4)))*MAX(Table1123457913[[#This Row],[b (mm)]],AA20)*MIN(Table1123457913[[#This Row],[b (mm)]],AA20)^3</f>
        <v>8998851825</v>
      </c>
      <c r="AH20" s="111">
        <f>Table1123457913[[#This Row],[b (mm)]]*AA20^3/12</f>
        <v>25000000000</v>
      </c>
      <c r="AI20" s="111">
        <v>4800</v>
      </c>
      <c r="AJ20"/>
      <c r="AK20" s="138"/>
      <c r="AL20" s="138"/>
      <c r="AM20" s="1"/>
    </row>
    <row r="21" spans="1:44" s="129" customFormat="1" x14ac:dyDescent="0.25">
      <c r="A21" s="150" t="s">
        <v>190</v>
      </c>
      <c r="B21" s="283">
        <v>2</v>
      </c>
      <c r="C21" s="283">
        <v>27</v>
      </c>
      <c r="D21" s="275">
        <f>Table1123457913[[#This Row],[a (mm)]]/Table1123457913[[#This Row],[d (mm)]]</f>
        <v>2.5945945945945947</v>
      </c>
      <c r="E21" s="284">
        <f>534.1/2</f>
        <v>267.05</v>
      </c>
      <c r="F21" s="137">
        <f>Table1123457913[[#This Row],[d (mm)]]</f>
        <v>925</v>
      </c>
      <c r="G21" s="111">
        <f t="shared" si="5"/>
        <v>640920</v>
      </c>
      <c r="H21" s="111">
        <f t="shared" si="0"/>
        <v>9.7342194621342166E-7</v>
      </c>
      <c r="I21" s="111">
        <f>G21/(Table1123457913[[#This Row],[b (mm)]]*Z21^2)</f>
        <v>2.4968882395909422E-3</v>
      </c>
      <c r="J21" s="111">
        <f t="shared" si="1"/>
        <v>0.4489060489060489</v>
      </c>
      <c r="K21" s="111">
        <f t="shared" si="2"/>
        <v>9.4509580060383917E-7</v>
      </c>
      <c r="L21" s="111">
        <f>E21/(Table1123457913[[#This Row],[b (mm)]]*Z21)</f>
        <v>9.6234234234234234E-4</v>
      </c>
      <c r="M21" s="111">
        <f>Table1123457913[[#This Row],[M (KN.mm)]]/(Table1123457913[[#This Row],[b (mm)]]*Table1123457913[[#This Row],[d (mm)]])</f>
        <v>2.3096216216216217</v>
      </c>
      <c r="N21" s="111">
        <f>Table1123457913[[#This Row],[M (KN.mm)]]/(Table1123457913[[#This Row],[b (mm)]]*Table1123457913[[#This Row],[h (mm)]])</f>
        <v>2.1364000000000001</v>
      </c>
      <c r="O21" s="111">
        <f>Table1123457913[[#This Row],[M (KN.mm)]]/(Table1123457913[[#This Row],[b (mm)]]*Table1123457913[[#This Row],[h (mm)]]*Table1123457913[[#This Row],[L(mm)]])</f>
        <v>4.4508333333333336E-4</v>
      </c>
      <c r="P21" s="111">
        <f>Table1123457913[[#This Row],[M (KN.mm)]]/(Table1123457913[[#This Row],[b (mm)]]*Table1123457913[[#This Row],[d (mm)]]*Table1123457913[[#This Row],[L(mm)]])</f>
        <v>4.8117117117117117E-4</v>
      </c>
      <c r="Q21" s="111">
        <f>Table1123457913[[#This Row],[M (KN.mm)]]/(Table1123457913[[#This Row],[b (mm)]]*Table1123457913[[#This Row],[h (mm)]]*Table1123457913[[#This Row],[L(mm)]]*Table1123457913[[#This Row],[fc (Mpa)]])</f>
        <v>9.8907407407407405E-6</v>
      </c>
      <c r="R21" s="111">
        <f>Table1123457913[[#This Row],[M (KN.mm)]]/(Table1123457913[[#This Row],[b (mm)]]*Table1123457913[[#This Row],[h (mm)]]*Table1123457913[[#This Row],[L(mm)]]/2)</f>
        <v>8.9016666666666671E-4</v>
      </c>
      <c r="S21" s="111">
        <f>Table1123457913[[#This Row],[M (KN.mm)]]/(Table1123457913[[#This Row],[a (mm)]]*Table1123457913[[#This Row],[b (mm)]]*Table1123457913[[#This Row],[h (mm)]]*Table1123457913[[#This Row],[L(mm)]]/2)</f>
        <v>3.7090277777777777E-7</v>
      </c>
      <c r="T21" s="111">
        <f>G21/($AL$5*AH21*0.001*Table1123457913[[#This Row],[pho (%)]])</f>
        <v>9.9328770021777719E-7</v>
      </c>
      <c r="U21" s="111">
        <f>Table1123457913[[#This Row],[M (KN.mm)]]/(Table1123457913[[#This Row],[b (mm)]]*Table1123457913[[#This Row],[d (mm)]]*Table1123457913[[#This Row],[pho (%)]])</f>
        <v>2.3567567567567567</v>
      </c>
      <c r="V21" s="111">
        <f>E21*224.8/(2*SQRT(Table1123457913[[#This Row],[fc (Mpa)]]*145.037)*Table1123457913[[#This Row],[b (mm)]]*Table1123457913[[#This Row],[d (mm)]]*(1/25.4)^2)</f>
        <v>0.86380890803041421</v>
      </c>
      <c r="W21" s="111">
        <f>Table1123457913[[#This Row],[M (KN.mm)]]/$G$27</f>
        <v>0.32310949788263765</v>
      </c>
      <c r="X21" s="111">
        <f t="shared" si="6"/>
        <v>0.86380890803041421</v>
      </c>
      <c r="Y21" s="111">
        <v>2400</v>
      </c>
      <c r="Z21" s="111">
        <v>925</v>
      </c>
      <c r="AA21" s="111">
        <v>1000</v>
      </c>
      <c r="AB21" s="111">
        <v>300</v>
      </c>
      <c r="AC21" s="7">
        <v>45</v>
      </c>
      <c r="AD21" s="111">
        <f>Table1123457913[[#This Row],[pho (%)]]*Table1123457913[[#This Row],[b (mm)]]*Table1123457913[[#This Row],[h (mm)]]/100</f>
        <v>2940</v>
      </c>
      <c r="AE21" s="160">
        <f t="shared" si="4"/>
        <v>0.98</v>
      </c>
      <c r="AF21" s="160">
        <v>525</v>
      </c>
      <c r="AG21" s="111">
        <f>(1/3-0.21*(MIN(Table1123457913[[#This Row],[b (mm)]],AA21)/MAX(Table1123457913[[#This Row],[b (mm)]],AA21))*(MIN(Table1123457913[[#This Row],[b (mm)]],AA21)^4/(12*MAX(Table1123457913[[#This Row],[b (mm)]],AA21)^4)))*MAX(Table1123457913[[#This Row],[b (mm)]],AA21)*MIN(Table1123457913[[#This Row],[b (mm)]],AA21)^3</f>
        <v>8998851825</v>
      </c>
      <c r="AH21" s="111">
        <f>Table1123457913[[#This Row],[b (mm)]]*AA21^3/12</f>
        <v>25000000000</v>
      </c>
      <c r="AI21" s="111">
        <v>4800</v>
      </c>
      <c r="AJ21"/>
      <c r="AK21" s="138"/>
      <c r="AL21" s="138"/>
      <c r="AM21" s="1"/>
    </row>
    <row r="22" spans="1:44" s="129" customFormat="1" x14ac:dyDescent="0.25">
      <c r="A22" s="150" t="s">
        <v>190</v>
      </c>
      <c r="B22" s="283">
        <v>3</v>
      </c>
      <c r="C22" s="283">
        <v>28</v>
      </c>
      <c r="D22" s="275">
        <f>Table1123457913[[#This Row],[a (mm)]]/Table1123457913[[#This Row],[d (mm)]]</f>
        <v>2.5945945945945947</v>
      </c>
      <c r="E22" s="284">
        <f>586.2/2</f>
        <v>293.10000000000002</v>
      </c>
      <c r="F22" s="137">
        <f>Table1123457913[[#This Row],[d (mm)]]</f>
        <v>925</v>
      </c>
      <c r="G22" s="111">
        <f t="shared" si="5"/>
        <v>703440</v>
      </c>
      <c r="H22" s="111">
        <f t="shared" si="0"/>
        <v>1.0683766052617634E-6</v>
      </c>
      <c r="I22" s="111">
        <f>G22/(Table1123457913[[#This Row],[b (mm)]]*Z22^2)</f>
        <v>2.7404528853177501E-3</v>
      </c>
      <c r="J22" s="111">
        <f t="shared" si="1"/>
        <v>0.49269561106295801</v>
      </c>
      <c r="K22" s="111">
        <f t="shared" si="2"/>
        <v>1.0372873213143054E-6</v>
      </c>
      <c r="L22" s="111">
        <f>E22/(Table1123457913[[#This Row],[b (mm)]]*Z22)</f>
        <v>1.0562162162162164E-3</v>
      </c>
      <c r="M22" s="111">
        <f>Table1123457913[[#This Row],[M (KN.mm)]]/(Table1123457913[[#This Row],[b (mm)]]*Table1123457913[[#This Row],[d (mm)]])</f>
        <v>2.534918918918919</v>
      </c>
      <c r="N22" s="111">
        <f>Table1123457913[[#This Row],[M (KN.mm)]]/(Table1123457913[[#This Row],[b (mm)]]*Table1123457913[[#This Row],[h (mm)]])</f>
        <v>2.3448000000000002</v>
      </c>
      <c r="O22" s="111">
        <f>Table1123457913[[#This Row],[M (KN.mm)]]/(Table1123457913[[#This Row],[b (mm)]]*Table1123457913[[#This Row],[h (mm)]]*Table1123457913[[#This Row],[L(mm)]])</f>
        <v>4.885E-4</v>
      </c>
      <c r="P22" s="111">
        <f>Table1123457913[[#This Row],[M (KN.mm)]]/(Table1123457913[[#This Row],[b (mm)]]*Table1123457913[[#This Row],[d (mm)]]*Table1123457913[[#This Row],[L(mm)]])</f>
        <v>5.2810810810810808E-4</v>
      </c>
      <c r="Q22" s="111">
        <f>Table1123457913[[#This Row],[M (KN.mm)]]/(Table1123457913[[#This Row],[b (mm)]]*Table1123457913[[#This Row],[h (mm)]]*Table1123457913[[#This Row],[L(mm)]]*Table1123457913[[#This Row],[fc (Mpa)]])</f>
        <v>1.0855555555555556E-5</v>
      </c>
      <c r="R22" s="111">
        <f>Table1123457913[[#This Row],[M (KN.mm)]]/(Table1123457913[[#This Row],[b (mm)]]*Table1123457913[[#This Row],[h (mm)]]*Table1123457913[[#This Row],[L(mm)]]/2)</f>
        <v>9.77E-4</v>
      </c>
      <c r="S22" s="111">
        <f>Table1123457913[[#This Row],[M (KN.mm)]]/(Table1123457913[[#This Row],[a (mm)]]*Table1123457913[[#This Row],[b (mm)]]*Table1123457913[[#This Row],[h (mm)]]*Table1123457913[[#This Row],[L(mm)]]/2)</f>
        <v>4.0708333333333334E-7</v>
      </c>
      <c r="T22" s="111">
        <f>G22/($AL$5*AH22*0.001*Table1123457913[[#This Row],[pho (%)]])</f>
        <v>1.0901802094507789E-6</v>
      </c>
      <c r="U22" s="111">
        <f>Table1123457913[[#This Row],[M (KN.mm)]]/(Table1123457913[[#This Row],[b (mm)]]*Table1123457913[[#This Row],[d (mm)]]*Table1123457913[[#This Row],[pho (%)]])</f>
        <v>2.5866519580805294</v>
      </c>
      <c r="V22" s="111">
        <f>E22*224.8/(2*SQRT(Table1123457913[[#This Row],[fc (Mpa)]]*145.037)*Table1123457913[[#This Row],[b (mm)]]*Table1123457913[[#This Row],[d (mm)]]*(1/25.4)^2)</f>
        <v>0.94807111381282305</v>
      </c>
      <c r="W22" s="111">
        <f>Table1123457913[[#This Row],[M (KN.mm)]]/$G$27</f>
        <v>0.35462794918330309</v>
      </c>
      <c r="X22" s="111">
        <f t="shared" si="6"/>
        <v>0.94807111381282305</v>
      </c>
      <c r="Y22" s="111">
        <v>2400</v>
      </c>
      <c r="Z22" s="111">
        <v>925</v>
      </c>
      <c r="AA22" s="111">
        <v>1000</v>
      </c>
      <c r="AB22" s="111">
        <v>300</v>
      </c>
      <c r="AC22" s="7">
        <v>45</v>
      </c>
      <c r="AD22" s="111">
        <f>Table1123457913[[#This Row],[pho (%)]]*Table1123457913[[#This Row],[b (mm)]]*Table1123457913[[#This Row],[h (mm)]]/100</f>
        <v>2940</v>
      </c>
      <c r="AE22" s="160">
        <f t="shared" si="4"/>
        <v>0.98</v>
      </c>
      <c r="AF22" s="160">
        <v>525</v>
      </c>
      <c r="AG22" s="111">
        <f>(1/3-0.21*(MIN(Table1123457913[[#This Row],[b (mm)]],AA22)/MAX(Table1123457913[[#This Row],[b (mm)]],AA22))*(MIN(Table1123457913[[#This Row],[b (mm)]],AA22)^4/(12*MAX(Table1123457913[[#This Row],[b (mm)]],AA22)^4)))*MAX(Table1123457913[[#This Row],[b (mm)]],AA22)*MIN(Table1123457913[[#This Row],[b (mm)]],AA22)^3</f>
        <v>8998851825</v>
      </c>
      <c r="AH22" s="111">
        <f>Table1123457913[[#This Row],[b (mm)]]*AA22^3/12</f>
        <v>25000000000</v>
      </c>
      <c r="AI22" s="111">
        <v>4800</v>
      </c>
      <c r="AJ22"/>
      <c r="AK22" s="138"/>
      <c r="AL22" s="138"/>
      <c r="AM22" s="1"/>
    </row>
    <row r="23" spans="1:44" s="129" customFormat="1" x14ac:dyDescent="0.25">
      <c r="A23" s="150" t="s">
        <v>190</v>
      </c>
      <c r="B23" s="283">
        <v>4</v>
      </c>
      <c r="C23" s="283">
        <v>29</v>
      </c>
      <c r="D23" s="275">
        <f>Table1123457913[[#This Row],[a (mm)]]/Table1123457913[[#This Row],[d (mm)]]</f>
        <v>2.5945945945945947</v>
      </c>
      <c r="E23" s="284">
        <f>645.9/2</f>
        <v>322.95</v>
      </c>
      <c r="F23" s="137">
        <f>Table1123457913[[#This Row],[d (mm)]]</f>
        <v>925</v>
      </c>
      <c r="G23" s="111">
        <f>E23*Y23</f>
        <v>775080</v>
      </c>
      <c r="H23" s="111">
        <f t="shared" si="0"/>
        <v>1.1771826157259859E-6</v>
      </c>
      <c r="I23" s="111">
        <f>G23/(Table1123457913[[#This Row],[b (mm)]]*Z23^2)</f>
        <v>3.0195471146822498E-3</v>
      </c>
      <c r="J23" s="111">
        <f t="shared" si="1"/>
        <v>0.54287290205657557</v>
      </c>
      <c r="K23" s="111">
        <f>E23/($AL$4*AG23*0.001)</f>
        <v>1.1429271252762023E-6</v>
      </c>
      <c r="L23" s="111">
        <f>E23/(Table1123457913[[#This Row],[b (mm)]]*Z23)</f>
        <v>1.1637837837837838E-3</v>
      </c>
      <c r="M23" s="111">
        <f>Table1123457913[[#This Row],[M (KN.mm)]]/(Table1123457913[[#This Row],[b (mm)]]*Table1123457913[[#This Row],[d (mm)]])</f>
        <v>2.7930810810810809</v>
      </c>
      <c r="N23" s="111">
        <f>Table1123457913[[#This Row],[M (KN.mm)]]/(Table1123457913[[#This Row],[b (mm)]]*Table1123457913[[#This Row],[h (mm)]])</f>
        <v>2.5836000000000001</v>
      </c>
      <c r="O23" s="111">
        <f>Table1123457913[[#This Row],[M (KN.mm)]]/(Table1123457913[[#This Row],[b (mm)]]*Table1123457913[[#This Row],[h (mm)]]*Table1123457913[[#This Row],[L(mm)]])</f>
        <v>5.3824999999999999E-4</v>
      </c>
      <c r="P23" s="111">
        <f>Table1123457913[[#This Row],[M (KN.mm)]]/(Table1123457913[[#This Row],[b (mm)]]*Table1123457913[[#This Row],[d (mm)]]*Table1123457913[[#This Row],[L(mm)]])</f>
        <v>5.818918918918919E-4</v>
      </c>
      <c r="Q23" s="111">
        <f>Table1123457913[[#This Row],[M (KN.mm)]]/(Table1123457913[[#This Row],[b (mm)]]*Table1123457913[[#This Row],[h (mm)]]*Table1123457913[[#This Row],[L(mm)]]*Table1123457913[[#This Row],[fc (Mpa)]])</f>
        <v>1.196111111111111E-5</v>
      </c>
      <c r="R23" s="111">
        <f>Table1123457913[[#This Row],[M (KN.mm)]]/(Table1123457913[[#This Row],[b (mm)]]*Table1123457913[[#This Row],[h (mm)]]*Table1123457913[[#This Row],[L(mm)]]/2)</f>
        <v>1.0765E-3</v>
      </c>
      <c r="S23" s="111">
        <f>Table1123457913[[#This Row],[M (KN.mm)]]/(Table1123457913[[#This Row],[a (mm)]]*Table1123457913[[#This Row],[b (mm)]]*Table1123457913[[#This Row],[h (mm)]]*Table1123457913[[#This Row],[L(mm)]]/2)</f>
        <v>4.4854166666666668E-7</v>
      </c>
      <c r="T23" s="111">
        <f>G23/($AL$5*AH23*0.001*Table1123457913[[#This Row],[pho (%)]])</f>
        <v>1.2012067507408021E-6</v>
      </c>
      <c r="U23" s="111">
        <f>Table1123457913[[#This Row],[M (KN.mm)]]/(Table1123457913[[#This Row],[b (mm)]]*Table1123457913[[#This Row],[d (mm)]]*Table1123457913[[#This Row],[pho (%)]])</f>
        <v>2.8500827357970215</v>
      </c>
      <c r="V23" s="111">
        <f>E23*224.8/(2*SQRT(Table1123457913[[#This Row],[fc (Mpa)]]*145.037)*Table1123457913[[#This Row],[b (mm)]]*Table1123457913[[#This Row],[d (mm)]]*(1/25.4)^2)</f>
        <v>1.04462492734852</v>
      </c>
      <c r="W23" s="111">
        <f>Table1123457913[[#This Row],[M (KN.mm)]]/$G$27</f>
        <v>0.39074410163339385</v>
      </c>
      <c r="X23" s="111">
        <f t="shared" si="6"/>
        <v>1.04462492734852</v>
      </c>
      <c r="Y23" s="111">
        <v>2400</v>
      </c>
      <c r="Z23" s="111">
        <v>925</v>
      </c>
      <c r="AA23" s="111">
        <v>1000</v>
      </c>
      <c r="AB23" s="111">
        <v>300</v>
      </c>
      <c r="AC23" s="7">
        <v>45</v>
      </c>
      <c r="AD23" s="111">
        <f>Table1123457913[[#This Row],[pho (%)]]*Table1123457913[[#This Row],[b (mm)]]*Table1123457913[[#This Row],[h (mm)]]/100</f>
        <v>2940</v>
      </c>
      <c r="AE23" s="160">
        <f t="shared" si="4"/>
        <v>0.98</v>
      </c>
      <c r="AF23" s="160">
        <v>525</v>
      </c>
      <c r="AG23" s="111">
        <f>(1/3-0.21*(MIN(Table1123457913[[#This Row],[b (mm)]],AA23)/MAX(Table1123457913[[#This Row],[b (mm)]],AA23))*(MIN(Table1123457913[[#This Row],[b (mm)]],AA23)^4/(12*MAX(Table1123457913[[#This Row],[b (mm)]],AA23)^4)))*MAX(Table1123457913[[#This Row],[b (mm)]],AA23)*MIN(Table1123457913[[#This Row],[b (mm)]],AA23)^3</f>
        <v>8998851825</v>
      </c>
      <c r="AH23" s="111">
        <f>Table1123457913[[#This Row],[b (mm)]]*AA23^3/12</f>
        <v>25000000000</v>
      </c>
      <c r="AI23" s="111">
        <v>4800</v>
      </c>
      <c r="AJ23"/>
      <c r="AK23" s="138"/>
      <c r="AL23" s="138"/>
      <c r="AM23" s="1"/>
    </row>
    <row r="24" spans="1:44" x14ac:dyDescent="0.25">
      <c r="A24" s="150" t="s">
        <v>190</v>
      </c>
      <c r="B24" s="283">
        <v>5</v>
      </c>
      <c r="C24" s="283">
        <v>30</v>
      </c>
      <c r="D24" s="275">
        <f>Table1123457913[[#This Row],[a (mm)]]/Table1123457913[[#This Row],[d (mm)]]</f>
        <v>2.5945945945945947</v>
      </c>
      <c r="E24" s="284">
        <f>683/2</f>
        <v>341.5</v>
      </c>
      <c r="F24" s="137">
        <f>Table1123457913[[#This Row],[d (mm)]]</f>
        <v>925</v>
      </c>
      <c r="G24" s="111">
        <f>E24*Y24</f>
        <v>819600</v>
      </c>
      <c r="H24" s="111">
        <f t="shared" si="0"/>
        <v>1.2447990811903521E-6</v>
      </c>
      <c r="I24" s="111">
        <f>G24/(Table1123457913[[#This Row],[b (mm)]]*Z24^2)</f>
        <v>3.1929875821767712E-3</v>
      </c>
      <c r="J24" s="111">
        <f t="shared" si="1"/>
        <v>0.57405510466734955</v>
      </c>
      <c r="K24" s="111">
        <f>E24/($AL$4*AG24*0.001)</f>
        <v>1.2085759816746342E-6</v>
      </c>
      <c r="L24" s="111">
        <f>E24/(Table1123457913[[#This Row],[b (mm)]]*Z24)</f>
        <v>1.2306306306306305E-3</v>
      </c>
      <c r="M24" s="111">
        <f>Table1123457913[[#This Row],[M (KN.mm)]]/(Table1123457913[[#This Row],[b (mm)]]*Table1123457913[[#This Row],[d (mm)]])</f>
        <v>2.9535135135135135</v>
      </c>
      <c r="N24" s="111">
        <f>Table1123457913[[#This Row],[M (KN.mm)]]/(Table1123457913[[#This Row],[b (mm)]]*Table1123457913[[#This Row],[h (mm)]])</f>
        <v>2.7320000000000002</v>
      </c>
      <c r="O24" s="111">
        <f>Table1123457913[[#This Row],[M (KN.mm)]]/(Table1123457913[[#This Row],[b (mm)]]*Table1123457913[[#This Row],[h (mm)]]*Table1123457913[[#This Row],[L(mm)]])</f>
        <v>5.6916666666666671E-4</v>
      </c>
      <c r="P24" s="111">
        <f>Table1123457913[[#This Row],[M (KN.mm)]]/(Table1123457913[[#This Row],[b (mm)]]*Table1123457913[[#This Row],[d (mm)]]*Table1123457913[[#This Row],[L(mm)]])</f>
        <v>6.1531531531531527E-4</v>
      </c>
      <c r="Q24" s="111">
        <f>Table1123457913[[#This Row],[M (KN.mm)]]/(Table1123457913[[#This Row],[b (mm)]]*Table1123457913[[#This Row],[h (mm)]]*Table1123457913[[#This Row],[L(mm)]]*Table1123457913[[#This Row],[fc (Mpa)]])</f>
        <v>1.2648148148148148E-5</v>
      </c>
      <c r="R24" s="111">
        <f>Table1123457913[[#This Row],[M (KN.mm)]]/(Table1123457913[[#This Row],[b (mm)]]*Table1123457913[[#This Row],[h (mm)]]*Table1123457913[[#This Row],[L(mm)]]/2)</f>
        <v>1.1383333333333334E-3</v>
      </c>
      <c r="S24" s="111">
        <f>Table1123457913[[#This Row],[M (KN.mm)]]/(Table1123457913[[#This Row],[a (mm)]]*Table1123457913[[#This Row],[b (mm)]]*Table1123457913[[#This Row],[h (mm)]]*Table1123457913[[#This Row],[L(mm)]]/2)</f>
        <v>4.7430555555555556E-7</v>
      </c>
      <c r="T24" s="111">
        <f>G24/($AL$5*AH24*0.001*Table1123457913[[#This Row],[pho (%)]])</f>
        <v>1.2702031440717878E-6</v>
      </c>
      <c r="U24" s="111">
        <f>Table1123457913[[#This Row],[M (KN.mm)]]/(Table1123457913[[#This Row],[b (mm)]]*Table1123457913[[#This Row],[d (mm)]]*Table1123457913[[#This Row],[pho (%)]])</f>
        <v>3.0137892995035851</v>
      </c>
      <c r="V24" s="111">
        <f>E24*224.8/(2*SQRT(Table1123457913[[#This Row],[fc (Mpa)]]*145.037)*Table1123457913[[#This Row],[b (mm)]]*Table1123457913[[#This Row],[d (mm)]]*(1/25.4)^2)</f>
        <v>1.1046273809862812</v>
      </c>
      <c r="W24" s="111">
        <f>Table1123457913[[#This Row],[M (KN.mm)]]/$G$27</f>
        <v>0.41318814277071991</v>
      </c>
      <c r="X24" s="111">
        <f t="shared" si="6"/>
        <v>1.1046273809862812</v>
      </c>
      <c r="Y24" s="111">
        <v>2400</v>
      </c>
      <c r="Z24" s="111">
        <v>925</v>
      </c>
      <c r="AA24" s="111">
        <v>1000</v>
      </c>
      <c r="AB24" s="111">
        <v>300</v>
      </c>
      <c r="AC24" s="7">
        <v>45</v>
      </c>
      <c r="AD24" s="111">
        <f>Table1123457913[[#This Row],[pho (%)]]*Table1123457913[[#This Row],[b (mm)]]*Table1123457913[[#This Row],[h (mm)]]/100</f>
        <v>2940</v>
      </c>
      <c r="AE24" s="160">
        <f t="shared" si="4"/>
        <v>0.98</v>
      </c>
      <c r="AF24" s="160">
        <v>525</v>
      </c>
      <c r="AG24" s="111">
        <f>(1/3-0.21*(MIN(Table1123457913[[#This Row],[b (mm)]],AA24)/MAX(Table1123457913[[#This Row],[b (mm)]],AA24))*(MIN(Table1123457913[[#This Row],[b (mm)]],AA24)^4/(12*MAX(Table1123457913[[#This Row],[b (mm)]],AA24)^4)))*MAX(Table1123457913[[#This Row],[b (mm)]],AA24)*MIN(Table1123457913[[#This Row],[b (mm)]],AA24)^3</f>
        <v>8998851825</v>
      </c>
      <c r="AH24" s="111">
        <f>Table1123457913[[#This Row],[b (mm)]]*AA24^3/12</f>
        <v>25000000000</v>
      </c>
      <c r="AI24" s="111">
        <v>4800</v>
      </c>
      <c r="AK24" s="1"/>
    </row>
    <row r="25" spans="1:44" x14ac:dyDescent="0.25">
      <c r="A25" s="150" t="s">
        <v>190</v>
      </c>
      <c r="B25" s="283">
        <v>6</v>
      </c>
      <c r="C25" s="283">
        <v>31</v>
      </c>
      <c r="D25" s="275">
        <f>Table1123457913[[#This Row],[a (mm)]]/Table1123457913[[#This Row],[d (mm)]]</f>
        <v>2.5945945945945947</v>
      </c>
      <c r="E25" s="284">
        <f>794/2</f>
        <v>397</v>
      </c>
      <c r="F25" s="137">
        <f>Table1123457913[[#This Row],[d (mm)]]</f>
        <v>925</v>
      </c>
      <c r="G25" s="111">
        <f t="shared" si="5"/>
        <v>952800</v>
      </c>
      <c r="H25" s="111">
        <f t="shared" si="0"/>
        <v>1.4471017137117709E-6</v>
      </c>
      <c r="I25" s="111">
        <f>G25/(Table1123457913[[#This Row],[b (mm)]]*Z25^2)</f>
        <v>3.7119065010956902E-3</v>
      </c>
      <c r="J25" s="111">
        <f t="shared" si="1"/>
        <v>0.667349565308749</v>
      </c>
      <c r="K25" s="111">
        <f t="shared" si="2"/>
        <v>1.4049916975836891E-6</v>
      </c>
      <c r="L25" s="111">
        <f>E25/(Table1123457913[[#This Row],[b (mm)]]*Z25)</f>
        <v>1.4306306306306306E-3</v>
      </c>
      <c r="M25" s="111">
        <f>Table1123457913[[#This Row],[M (KN.mm)]]/(Table1123457913[[#This Row],[b (mm)]]*Table1123457913[[#This Row],[d (mm)]])</f>
        <v>3.4335135135135135</v>
      </c>
      <c r="N25" s="111">
        <f>Table1123457913[[#This Row],[M (KN.mm)]]/(Table1123457913[[#This Row],[b (mm)]]*Table1123457913[[#This Row],[h (mm)]])</f>
        <v>3.1760000000000002</v>
      </c>
      <c r="O25" s="111">
        <f>Table1123457913[[#This Row],[M (KN.mm)]]/(Table1123457913[[#This Row],[b (mm)]]*Table1123457913[[#This Row],[h (mm)]]*Table1123457913[[#This Row],[L(mm)]])</f>
        <v>6.6166666666666663E-4</v>
      </c>
      <c r="P25" s="111">
        <f>Table1123457913[[#This Row],[M (KN.mm)]]/(Table1123457913[[#This Row],[b (mm)]]*Table1123457913[[#This Row],[d (mm)]]*Table1123457913[[#This Row],[L(mm)]])</f>
        <v>7.1531531531531531E-4</v>
      </c>
      <c r="Q25" s="111">
        <f>Table1123457913[[#This Row],[M (KN.mm)]]/(Table1123457913[[#This Row],[b (mm)]]*Table1123457913[[#This Row],[h (mm)]]*Table1123457913[[#This Row],[L(mm)]]*Table1123457913[[#This Row],[fc (Mpa)]])</f>
        <v>1.4703703703703703E-5</v>
      </c>
      <c r="R25" s="111">
        <f>Table1123457913[[#This Row],[M (KN.mm)]]/(Table1123457913[[#This Row],[b (mm)]]*Table1123457913[[#This Row],[h (mm)]]*Table1123457913[[#This Row],[L(mm)]]/2)</f>
        <v>1.3233333333333333E-3</v>
      </c>
      <c r="S25" s="111">
        <f>Table1123457913[[#This Row],[M (KN.mm)]]/(Table1123457913[[#This Row],[a (mm)]]*Table1123457913[[#This Row],[b (mm)]]*Table1123457913[[#This Row],[h (mm)]]*Table1123457913[[#This Row],[L(mm)]]/2)</f>
        <v>5.5138888888888893E-7</v>
      </c>
      <c r="T25" s="111">
        <f>G25/($AL$5*AH25*0.001*Table1123457913[[#This Row],[pho (%)]])</f>
        <v>1.476634401746705E-6</v>
      </c>
      <c r="U25" s="111">
        <f>Table1123457913[[#This Row],[M (KN.mm)]]/(Table1123457913[[#This Row],[b (mm)]]*Table1123457913[[#This Row],[d (mm)]]*Table1123457913[[#This Row],[pho (%)]])</f>
        <v>3.5035852178709321</v>
      </c>
      <c r="V25" s="111">
        <f>E25*224.8/(2*SQRT(Table1123457913[[#This Row],[fc (Mpa)]]*145.037)*Table1123457913[[#This Row],[b (mm)]]*Table1123457913[[#This Row],[d (mm)]]*(1/25.4)^2)</f>
        <v>1.2841495468566726</v>
      </c>
      <c r="W25" s="111">
        <f>Table1123457913[[#This Row],[M (KN.mm)]]/$G$27</f>
        <v>0.48033877797943136</v>
      </c>
      <c r="X25" s="111">
        <f t="shared" si="6"/>
        <v>1.2841495468566726</v>
      </c>
      <c r="Y25" s="111">
        <v>2400</v>
      </c>
      <c r="Z25" s="111">
        <v>925</v>
      </c>
      <c r="AA25" s="111">
        <v>1000</v>
      </c>
      <c r="AB25" s="111">
        <v>300</v>
      </c>
      <c r="AC25" s="7">
        <v>45</v>
      </c>
      <c r="AD25" s="111">
        <f>Table1123457913[[#This Row],[pho (%)]]*Table1123457913[[#This Row],[b (mm)]]*Table1123457913[[#This Row],[h (mm)]]/100</f>
        <v>2940</v>
      </c>
      <c r="AE25" s="160">
        <f t="shared" si="4"/>
        <v>0.98</v>
      </c>
      <c r="AF25" s="160">
        <v>525</v>
      </c>
      <c r="AG25" s="111">
        <f>(1/3-0.21*(MIN(Table1123457913[[#This Row],[b (mm)]],AA25)/MAX(Table1123457913[[#This Row],[b (mm)]],AA25))*(MIN(Table1123457913[[#This Row],[b (mm)]],AA25)^4/(12*MAX(Table1123457913[[#This Row],[b (mm)]],AA25)^4)))*MAX(Table1123457913[[#This Row],[b (mm)]],AA25)*MIN(Table1123457913[[#This Row],[b (mm)]],AA25)^3</f>
        <v>8998851825</v>
      </c>
      <c r="AH25" s="111">
        <f>Table1123457913[[#This Row],[b (mm)]]*AA25^3/12</f>
        <v>25000000000</v>
      </c>
      <c r="AI25" s="111">
        <v>4800</v>
      </c>
      <c r="AK25" s="1"/>
    </row>
    <row r="26" spans="1:44" x14ac:dyDescent="0.25">
      <c r="A26" s="150" t="s">
        <v>190</v>
      </c>
      <c r="B26" s="283">
        <v>7</v>
      </c>
      <c r="C26" s="283">
        <v>32</v>
      </c>
      <c r="D26" s="275">
        <f>Table1123457913[[#This Row],[a (mm)]]/Table1123457913[[#This Row],[d (mm)]]</f>
        <v>2.5945945945945947</v>
      </c>
      <c r="E26" s="284">
        <f>1088/2</f>
        <v>544</v>
      </c>
      <c r="F26" s="137">
        <f>Table1123457913[[#This Row],[d (mm)]]</f>
        <v>925</v>
      </c>
      <c r="G26" s="111">
        <f t="shared" si="5"/>
        <v>1305600</v>
      </c>
      <c r="H26" s="111">
        <f t="shared" si="0"/>
        <v>1.9829303079576911E-6</v>
      </c>
      <c r="I26" s="111">
        <f>G26/(Table1123457913[[#This Row],[b (mm)]]*Z26^2)</f>
        <v>5.0863403944485025E-3</v>
      </c>
      <c r="J26" s="111">
        <f t="shared" si="1"/>
        <v>0.91445381241299606</v>
      </c>
      <c r="K26" s="111">
        <f t="shared" si="2"/>
        <v>1.9252279180995637E-6</v>
      </c>
      <c r="L26" s="111">
        <f>E26/(Table1123457913[[#This Row],[b (mm)]]*Z26)</f>
        <v>1.9603603603603604E-3</v>
      </c>
      <c r="M26" s="111">
        <f>Table1123457913[[#This Row],[M (KN.mm)]]/(Table1123457913[[#This Row],[b (mm)]]*Table1123457913[[#This Row],[d (mm)]])</f>
        <v>4.7048648648648648</v>
      </c>
      <c r="N26" s="111">
        <f>Table1123457913[[#This Row],[M (KN.mm)]]/(Table1123457913[[#This Row],[b (mm)]]*Table1123457913[[#This Row],[h (mm)]])</f>
        <v>4.3520000000000003</v>
      </c>
      <c r="O26" s="111">
        <f>Table1123457913[[#This Row],[M (KN.mm)]]/(Table1123457913[[#This Row],[b (mm)]]*Table1123457913[[#This Row],[h (mm)]]*Table1123457913[[#This Row],[L(mm)]])</f>
        <v>9.0666666666666662E-4</v>
      </c>
      <c r="P26" s="111">
        <f>Table1123457913[[#This Row],[M (KN.mm)]]/(Table1123457913[[#This Row],[b (mm)]]*Table1123457913[[#This Row],[d (mm)]]*Table1123457913[[#This Row],[L(mm)]])</f>
        <v>9.8018018018018022E-4</v>
      </c>
      <c r="Q26" s="111">
        <f>Table1123457913[[#This Row],[M (KN.mm)]]/(Table1123457913[[#This Row],[b (mm)]]*Table1123457913[[#This Row],[h (mm)]]*Table1123457913[[#This Row],[L(mm)]]*Table1123457913[[#This Row],[fc (Mpa)]])</f>
        <v>2.0148148148148149E-5</v>
      </c>
      <c r="R26" s="111">
        <f>Table1123457913[[#This Row],[M (KN.mm)]]/(Table1123457913[[#This Row],[b (mm)]]*Table1123457913[[#This Row],[h (mm)]]*Table1123457913[[#This Row],[L(mm)]]/2)</f>
        <v>1.8133333333333332E-3</v>
      </c>
      <c r="S26" s="111">
        <f>Table1123457913[[#This Row],[M (KN.mm)]]/(Table1123457913[[#This Row],[a (mm)]]*Table1123457913[[#This Row],[b (mm)]]*Table1123457913[[#This Row],[h (mm)]]*Table1123457913[[#This Row],[L(mm)]]/2)</f>
        <v>7.5555555555555551E-7</v>
      </c>
      <c r="T26" s="111">
        <f>G26/($AL$5*AH26*0.001*Table1123457913[[#This Row],[pho (%)]])</f>
        <v>2.0233982734262155E-6</v>
      </c>
      <c r="U26" s="111">
        <f>Table1123457913[[#This Row],[M (KN.mm)]]/(Table1123457913[[#This Row],[b (mm)]]*Table1123457913[[#This Row],[d (mm)]]*Table1123457913[[#This Row],[pho (%)]])</f>
        <v>4.8008825151682295</v>
      </c>
      <c r="V26" s="111">
        <f>E26*224.8/(2*SQRT(Table1123457913[[#This Row],[fc (Mpa)]]*145.037)*Table1123457913[[#This Row],[b (mm)]]*Table1123457913[[#This Row],[d (mm)]]*(1/25.4)^2)</f>
        <v>1.7596406888917631</v>
      </c>
      <c r="W26" s="111">
        <f>Table1123457913[[#This Row],[M (KN.mm)]]/$G$27</f>
        <v>0.6581972171808832</v>
      </c>
      <c r="X26" s="111">
        <f t="shared" si="6"/>
        <v>1.7596406888917631</v>
      </c>
      <c r="Y26" s="111">
        <v>2400</v>
      </c>
      <c r="Z26" s="111">
        <v>925</v>
      </c>
      <c r="AA26" s="111">
        <v>1000</v>
      </c>
      <c r="AB26" s="111">
        <v>300</v>
      </c>
      <c r="AC26" s="7">
        <v>45</v>
      </c>
      <c r="AD26" s="111">
        <f>Table1123457913[[#This Row],[pho (%)]]*Table1123457913[[#This Row],[b (mm)]]*Table1123457913[[#This Row],[h (mm)]]/100</f>
        <v>2940</v>
      </c>
      <c r="AE26" s="160">
        <f t="shared" si="4"/>
        <v>0.98</v>
      </c>
      <c r="AF26" s="160">
        <v>525</v>
      </c>
      <c r="AG26" s="111">
        <f>(1/3-0.21*(MIN(Table1123457913[[#This Row],[b (mm)]],AA26)/MAX(Table1123457913[[#This Row],[b (mm)]],AA26))*(MIN(Table1123457913[[#This Row],[b (mm)]],AA26)^4/(12*MAX(Table1123457913[[#This Row],[b (mm)]],AA26)^4)))*MAX(Table1123457913[[#This Row],[b (mm)]],AA26)*MIN(Table1123457913[[#This Row],[b (mm)]],AA26)^3</f>
        <v>8998851825</v>
      </c>
      <c r="AH26" s="111">
        <f>Table1123457913[[#This Row],[b (mm)]]*AA26^3/12</f>
        <v>25000000000</v>
      </c>
      <c r="AI26" s="111">
        <v>4800</v>
      </c>
      <c r="AK26" s="1"/>
    </row>
    <row r="27" spans="1:44" x14ac:dyDescent="0.25">
      <c r="A27" s="150" t="s">
        <v>190</v>
      </c>
      <c r="B27" s="283" t="s">
        <v>141</v>
      </c>
      <c r="C27" s="283">
        <v>33</v>
      </c>
      <c r="D27" s="275">
        <f>Table1123457913[[#This Row],[a (mm)]]/Table1123457913[[#This Row],[d (mm)]]</f>
        <v>2.5945945945945947</v>
      </c>
      <c r="E27" s="284">
        <f>1653/2</f>
        <v>826.5</v>
      </c>
      <c r="F27" s="137">
        <f>Table1123457913[[#This Row],[d (mm)]]</f>
        <v>925</v>
      </c>
      <c r="G27" s="111">
        <f t="shared" si="5"/>
        <v>1983600</v>
      </c>
      <c r="H27" s="111">
        <f t="shared" si="0"/>
        <v>3.0126689329541025E-6</v>
      </c>
      <c r="I27" s="111">
        <f>G27/(Table1123457913[[#This Row],[b (mm)]]*Z27^2)</f>
        <v>7.7276844411979543E-3</v>
      </c>
      <c r="J27" s="111">
        <f t="shared" si="1"/>
        <v>1.3893310219840833</v>
      </c>
      <c r="K27" s="111">
        <f t="shared" si="2"/>
        <v>2.9250016071861939E-6</v>
      </c>
      <c r="L27" s="111">
        <f>E27/(Table1123457913[[#This Row],[b (mm)]]*Z27)</f>
        <v>2.9783783783783784E-3</v>
      </c>
      <c r="M27" s="111">
        <f>Table1123457913[[#This Row],[M (KN.mm)]]/(Table1123457913[[#This Row],[b (mm)]]*Table1123457913[[#This Row],[d (mm)]])</f>
        <v>7.1481081081081079</v>
      </c>
      <c r="N27" s="111">
        <f>Table1123457913[[#This Row],[M (KN.mm)]]/(Table1123457913[[#This Row],[b (mm)]]*Table1123457913[[#This Row],[h (mm)]])</f>
        <v>6.6120000000000001</v>
      </c>
      <c r="O27" s="111">
        <f>Table1123457913[[#This Row],[M (KN.mm)]]/(Table1123457913[[#This Row],[b (mm)]]*Table1123457913[[#This Row],[h (mm)]]*Table1123457913[[#This Row],[L(mm)]])</f>
        <v>1.3775E-3</v>
      </c>
      <c r="P27" s="111">
        <f>Table1123457913[[#This Row],[M (KN.mm)]]/(Table1123457913[[#This Row],[b (mm)]]*Table1123457913[[#This Row],[d (mm)]]*Table1123457913[[#This Row],[L(mm)]])</f>
        <v>1.4891891891891892E-3</v>
      </c>
      <c r="Q27" s="111">
        <f>Table1123457913[[#This Row],[M (KN.mm)]]/(Table1123457913[[#This Row],[b (mm)]]*Table1123457913[[#This Row],[h (mm)]]*Table1123457913[[#This Row],[L(mm)]]*Table1123457913[[#This Row],[fc (Mpa)]])</f>
        <v>3.0611111111111111E-5</v>
      </c>
      <c r="R27" s="111">
        <f>Table1123457913[[#This Row],[M (KN.mm)]]/(Table1123457913[[#This Row],[b (mm)]]*Table1123457913[[#This Row],[h (mm)]]*Table1123457913[[#This Row],[L(mm)]]/2)</f>
        <v>2.7550000000000001E-3</v>
      </c>
      <c r="S27" s="111">
        <f>Table1123457913[[#This Row],[M (KN.mm)]]/(Table1123457913[[#This Row],[a (mm)]]*Table1123457913[[#This Row],[b (mm)]]*Table1123457913[[#This Row],[h (mm)]]*Table1123457913[[#This Row],[L(mm)]]/2)</f>
        <v>1.1479166666666668E-6</v>
      </c>
      <c r="T27" s="111">
        <f>G27/($AL$5*AH27*0.001*Table1123457913[[#This Row],[pho (%)]])</f>
        <v>3.0741519724021454E-6</v>
      </c>
      <c r="U27" s="111">
        <f>Table1123457913[[#This Row],[M (KN.mm)]]/(Table1123457913[[#This Row],[b (mm)]]*Table1123457913[[#This Row],[d (mm)]]*Table1123457913[[#This Row],[pho (%)]])</f>
        <v>7.2939878654164367</v>
      </c>
      <c r="V27" s="111">
        <f>E27*224.8/(2*SQRT(Table1123457913[[#This Row],[fc (Mpa)]]*145.037)*Table1123457913[[#This Row],[b (mm)]]*Table1123457913[[#This Row],[d (mm)]]*(1/25.4)^2)</f>
        <v>2.6734246863401507</v>
      </c>
      <c r="W27" s="111">
        <f>Table1123457913[[#This Row],[M (KN.mm)]]/$G$27</f>
        <v>1</v>
      </c>
      <c r="X27" s="111">
        <f t="shared" si="6"/>
        <v>2.6734246863401507</v>
      </c>
      <c r="Y27" s="111">
        <v>2400</v>
      </c>
      <c r="Z27" s="111">
        <v>925</v>
      </c>
      <c r="AA27" s="111">
        <v>1000</v>
      </c>
      <c r="AB27" s="111">
        <v>300</v>
      </c>
      <c r="AC27" s="7">
        <v>45</v>
      </c>
      <c r="AD27" s="111">
        <f>Table1123457913[[#This Row],[pho (%)]]*Table1123457913[[#This Row],[b (mm)]]*Table1123457913[[#This Row],[h (mm)]]/100</f>
        <v>2940</v>
      </c>
      <c r="AE27" s="160">
        <f t="shared" si="4"/>
        <v>0.98</v>
      </c>
      <c r="AF27" s="160">
        <v>525</v>
      </c>
      <c r="AG27" s="111">
        <f>(1/3-0.21*(MIN(Table1123457913[[#This Row],[b (mm)]],AA27)/MAX(Table1123457913[[#This Row],[b (mm)]],AA27))*(MIN(Table1123457913[[#This Row],[b (mm)]],AA27)^4/(12*MAX(Table1123457913[[#This Row],[b (mm)]],AA27)^4)))*MAX(Table1123457913[[#This Row],[b (mm)]],AA27)*MIN(Table1123457913[[#This Row],[b (mm)]],AA27)^3</f>
        <v>8998851825</v>
      </c>
      <c r="AH27" s="111">
        <f>Table1123457913[[#This Row],[b (mm)]]*AA27^3/12</f>
        <v>25000000000</v>
      </c>
      <c r="AI27" s="111">
        <v>4800</v>
      </c>
      <c r="AK27" s="1"/>
    </row>
    <row r="28" spans="1:44" x14ac:dyDescent="0.25">
      <c r="A28" s="163" t="s">
        <v>191</v>
      </c>
      <c r="B28" s="285">
        <v>1</v>
      </c>
      <c r="C28" s="285">
        <v>34</v>
      </c>
      <c r="D28" s="275">
        <f>Table1123457913[[#This Row],[a (mm)]]/Table1123457913[[#This Row],[d (mm)]]</f>
        <v>3.2432432432432434</v>
      </c>
      <c r="E28" s="286">
        <f>269.4/2</f>
        <v>134.69999999999999</v>
      </c>
      <c r="F28" s="137">
        <f>Table1123457913[[#This Row],[d (mm)]]</f>
        <v>925</v>
      </c>
      <c r="G28" s="111">
        <f t="shared" si="5"/>
        <v>404099.99999999994</v>
      </c>
      <c r="H28" s="111">
        <f t="shared" si="0"/>
        <v>6.1374244596025041E-7</v>
      </c>
      <c r="I28" s="111">
        <f>G28/(Table1123457913[[#This Row],[b (mm)]]*Z28^2)</f>
        <v>1.574287801314828E-3</v>
      </c>
      <c r="J28" s="111">
        <f t="shared" si="1"/>
        <v>0.28303522181073199</v>
      </c>
      <c r="K28" s="111">
        <f t="shared" si="2"/>
        <v>4.7670625104413824E-7</v>
      </c>
      <c r="L28" s="111">
        <f>E28/(Table1123457913[[#This Row],[b (mm)]]*Z28)</f>
        <v>4.8540540540540538E-4</v>
      </c>
      <c r="M28" s="111">
        <f>Table1123457913[[#This Row],[M (KN.mm)]]/(Table1123457913[[#This Row],[b (mm)]]*Table1123457913[[#This Row],[d (mm)]])</f>
        <v>1.456216216216216</v>
      </c>
      <c r="N28" s="111">
        <f>Table1123457913[[#This Row],[M (KN.mm)]]/(Table1123457913[[#This Row],[b (mm)]]*Table1123457913[[#This Row],[h (mm)]])</f>
        <v>1.3469999999999998</v>
      </c>
      <c r="O28" s="111">
        <f>Table1123457913[[#This Row],[M (KN.mm)]]/(Table1123457913[[#This Row],[b (mm)]]*Table1123457913[[#This Row],[h (mm)]]*Table1123457913[[#This Row],[L(mm)]])</f>
        <v>2.2449999999999995E-4</v>
      </c>
      <c r="P28" s="111">
        <f>Table1123457913[[#This Row],[M (KN.mm)]]/(Table1123457913[[#This Row],[b (mm)]]*Table1123457913[[#This Row],[d (mm)]]*Table1123457913[[#This Row],[L(mm)]])</f>
        <v>2.4270270270270266E-4</v>
      </c>
      <c r="Q28" s="111">
        <f>Table1123457913[[#This Row],[M (KN.mm)]]/(Table1123457913[[#This Row],[b (mm)]]*Table1123457913[[#This Row],[h (mm)]]*Table1123457913[[#This Row],[L(mm)]]*Table1123457913[[#This Row],[fc (Mpa)]])</f>
        <v>3.870689655172413E-6</v>
      </c>
      <c r="R28" s="111">
        <f>Table1123457913[[#This Row],[M (KN.mm)]]/(Table1123457913[[#This Row],[b (mm)]]*Table1123457913[[#This Row],[h (mm)]]*Table1123457913[[#This Row],[L(mm)]]/2)</f>
        <v>4.4899999999999991E-4</v>
      </c>
      <c r="S28" s="111">
        <f>Table1123457913[[#This Row],[M (KN.mm)]]/(Table1123457913[[#This Row],[a (mm)]]*Table1123457913[[#This Row],[b (mm)]]*Table1123457913[[#This Row],[h (mm)]]*Table1123457913[[#This Row],[L(mm)]]/2)</f>
        <v>1.4966666666666664E-7</v>
      </c>
      <c r="T28" s="111">
        <f>G28/($AL$5*AH28*0.001*Table1123457913[[#This Row],[pho (%)]])</f>
        <v>6.2626780200025541E-7</v>
      </c>
      <c r="U28" s="111">
        <f>Table1123457913[[#This Row],[M (KN.mm)]]/(Table1123457913[[#This Row],[b (mm)]]*Table1123457913[[#This Row],[d (mm)]]*Table1123457913[[#This Row],[pho (%)]])</f>
        <v>1.485934914506343</v>
      </c>
      <c r="V28" s="111">
        <f>E28*224.8/(2*SQRT(Table1123457913[[#This Row],[fc (Mpa)]]*145.037)*Table1123457913[[#This Row],[b (mm)]]*Table1123457913[[#This Row],[d (mm)]]*(1/25.4)^2)</f>
        <v>0.38378230943452379</v>
      </c>
      <c r="W28" s="111">
        <f>Table1123457913[[#This Row],[M (KN.mm)]]/$G$36</f>
        <v>0.19940784603997036</v>
      </c>
      <c r="X28" s="111">
        <f t="shared" si="6"/>
        <v>0.38378230943452379</v>
      </c>
      <c r="Y28" s="111">
        <v>3000</v>
      </c>
      <c r="Z28" s="111">
        <v>925</v>
      </c>
      <c r="AA28" s="111">
        <v>1000</v>
      </c>
      <c r="AB28" s="111">
        <v>300</v>
      </c>
      <c r="AC28" s="7">
        <v>58</v>
      </c>
      <c r="AD28" s="111">
        <f>Table1123457913[[#This Row],[pho (%)]]*Table1123457913[[#This Row],[b (mm)]]*Table1123457913[[#This Row],[h (mm)]]/100</f>
        <v>2940</v>
      </c>
      <c r="AE28" s="160">
        <f t="shared" si="4"/>
        <v>0.98</v>
      </c>
      <c r="AF28" s="160">
        <v>525</v>
      </c>
      <c r="AG28" s="111">
        <f>(1/3-0.21*(MIN(Table1123457913[[#This Row],[b (mm)]],AA28)/MAX(Table1123457913[[#This Row],[b (mm)]],AA28))*(MIN(Table1123457913[[#This Row],[b (mm)]],AA28)^4/(12*MAX(Table1123457913[[#This Row],[b (mm)]],AA28)^4)))*MAX(Table1123457913[[#This Row],[b (mm)]],AA28)*MIN(Table1123457913[[#This Row],[b (mm)]],AA28)^3</f>
        <v>8998851825</v>
      </c>
      <c r="AH28" s="111">
        <f>Table1123457913[[#This Row],[b (mm)]]*AA28^3/12</f>
        <v>25000000000</v>
      </c>
      <c r="AI28" s="111">
        <v>6000</v>
      </c>
      <c r="AK28" s="1"/>
    </row>
    <row r="29" spans="1:44" x14ac:dyDescent="0.25">
      <c r="A29" s="163" t="s">
        <v>191</v>
      </c>
      <c r="B29" s="285">
        <v>2</v>
      </c>
      <c r="C29" s="285">
        <v>35</v>
      </c>
      <c r="D29" s="275">
        <f>Table1123457913[[#This Row],[a (mm)]]/Table1123457913[[#This Row],[d (mm)]]</f>
        <v>3.2432432432432434</v>
      </c>
      <c r="E29" s="286">
        <f>402.3/2</f>
        <v>201.15</v>
      </c>
      <c r="F29" s="137">
        <f>Table1123457913[[#This Row],[d (mm)]]</f>
        <v>925</v>
      </c>
      <c r="G29" s="111">
        <f t="shared" si="5"/>
        <v>603450</v>
      </c>
      <c r="H29" s="111">
        <f t="shared" si="0"/>
        <v>9.1651293990277932E-7</v>
      </c>
      <c r="I29" s="111">
        <f>G29/(Table1123457913[[#This Row],[b (mm)]]*Z29^2)</f>
        <v>2.3509130752373997E-3</v>
      </c>
      <c r="J29" s="111">
        <f t="shared" si="1"/>
        <v>0.42266172878417774</v>
      </c>
      <c r="K29" s="111">
        <f t="shared" si="2"/>
        <v>7.1187425684876334E-7</v>
      </c>
      <c r="L29" s="111">
        <f>E29/(Table1123457913[[#This Row],[b (mm)]]*Z29)</f>
        <v>7.2486486486486492E-4</v>
      </c>
      <c r="M29" s="111">
        <f>Table1123457913[[#This Row],[M (KN.mm)]]/(Table1123457913[[#This Row],[b (mm)]]*Table1123457913[[#This Row],[d (mm)]])</f>
        <v>2.1745945945945948</v>
      </c>
      <c r="N29" s="111">
        <f>Table1123457913[[#This Row],[M (KN.mm)]]/(Table1123457913[[#This Row],[b (mm)]]*Table1123457913[[#This Row],[h (mm)]])</f>
        <v>2.0114999999999998</v>
      </c>
      <c r="O29" s="111">
        <f>Table1123457913[[#This Row],[M (KN.mm)]]/(Table1123457913[[#This Row],[b (mm)]]*Table1123457913[[#This Row],[h (mm)]]*Table1123457913[[#This Row],[L(mm)]])</f>
        <v>3.3524999999999999E-4</v>
      </c>
      <c r="P29" s="111">
        <f>Table1123457913[[#This Row],[M (KN.mm)]]/(Table1123457913[[#This Row],[b (mm)]]*Table1123457913[[#This Row],[d (mm)]]*Table1123457913[[#This Row],[L(mm)]])</f>
        <v>3.6243243243243241E-4</v>
      </c>
      <c r="Q29" s="111">
        <f>Table1123457913[[#This Row],[M (KN.mm)]]/(Table1123457913[[#This Row],[b (mm)]]*Table1123457913[[#This Row],[h (mm)]]*Table1123457913[[#This Row],[L(mm)]]*Table1123457913[[#This Row],[fc (Mpa)]])</f>
        <v>5.7801724137931031E-6</v>
      </c>
      <c r="R29" s="111">
        <f>Table1123457913[[#This Row],[M (KN.mm)]]/(Table1123457913[[#This Row],[b (mm)]]*Table1123457913[[#This Row],[h (mm)]]*Table1123457913[[#This Row],[L(mm)]]/2)</f>
        <v>6.7049999999999998E-4</v>
      </c>
      <c r="S29" s="111">
        <f>Table1123457913[[#This Row],[M (KN.mm)]]/(Table1123457913[[#This Row],[a (mm)]]*Table1123457913[[#This Row],[b (mm)]]*Table1123457913[[#This Row],[h (mm)]]*Table1123457913[[#This Row],[L(mm)]]/2)</f>
        <v>2.2350000000000001E-7</v>
      </c>
      <c r="T29" s="111">
        <f>G29/($AL$5*AH29*0.001*Table1123457913[[#This Row],[pho (%)]])</f>
        <v>9.35217285615081E-7</v>
      </c>
      <c r="U29" s="111">
        <f>Table1123457913[[#This Row],[M (KN.mm)]]/(Table1123457913[[#This Row],[b (mm)]]*Table1123457913[[#This Row],[d (mm)]]*Table1123457913[[#This Row],[pho (%)]])</f>
        <v>2.2189740761169334</v>
      </c>
      <c r="V29" s="111">
        <f>E29*224.8/(2*SQRT(Table1123457913[[#This Row],[fc (Mpa)]]*145.037)*Table1123457913[[#This Row],[b (mm)]]*Table1123457913[[#This Row],[d (mm)]]*(1/25.4)^2)</f>
        <v>0.57310921709543039</v>
      </c>
      <c r="W29" s="111">
        <f>Table1123457913[[#This Row],[M (KN.mm)]]/$G$36</f>
        <v>0.29777942264988899</v>
      </c>
      <c r="X29" s="111">
        <f t="shared" si="6"/>
        <v>0.57310921709543039</v>
      </c>
      <c r="Y29" s="111">
        <v>3000</v>
      </c>
      <c r="Z29" s="111">
        <v>925</v>
      </c>
      <c r="AA29" s="111">
        <v>1000</v>
      </c>
      <c r="AB29" s="111">
        <v>300</v>
      </c>
      <c r="AC29" s="7">
        <v>58</v>
      </c>
      <c r="AD29" s="111">
        <f>Table1123457913[[#This Row],[pho (%)]]*Table1123457913[[#This Row],[b (mm)]]*Table1123457913[[#This Row],[h (mm)]]/100</f>
        <v>2940</v>
      </c>
      <c r="AE29" s="160">
        <f t="shared" si="4"/>
        <v>0.98</v>
      </c>
      <c r="AF29" s="160">
        <v>525</v>
      </c>
      <c r="AG29" s="111">
        <f>(1/3-0.21*(MIN(Table1123457913[[#This Row],[b (mm)]],AA29)/MAX(Table1123457913[[#This Row],[b (mm)]],AA29))*(MIN(Table1123457913[[#This Row],[b (mm)]],AA29)^4/(12*MAX(Table1123457913[[#This Row],[b (mm)]],AA29)^4)))*MAX(Table1123457913[[#This Row],[b (mm)]],AA29)*MIN(Table1123457913[[#This Row],[b (mm)]],AA29)^3</f>
        <v>8998851825</v>
      </c>
      <c r="AH29" s="111">
        <f>Table1123457913[[#This Row],[b (mm)]]*AA29^3/12</f>
        <v>25000000000</v>
      </c>
      <c r="AI29" s="111">
        <v>6000</v>
      </c>
      <c r="AK29" s="1"/>
    </row>
    <row r="30" spans="1:44" x14ac:dyDescent="0.25">
      <c r="A30" s="163" t="s">
        <v>191</v>
      </c>
      <c r="B30" s="285">
        <v>3</v>
      </c>
      <c r="C30" s="285">
        <v>36</v>
      </c>
      <c r="D30" s="275">
        <f>Table1123457913[[#This Row],[a (mm)]]/Table1123457913[[#This Row],[d (mm)]]</f>
        <v>3.2432432432432434</v>
      </c>
      <c r="E30" s="286">
        <f>552/2</f>
        <v>276</v>
      </c>
      <c r="F30" s="137">
        <f>Table1123457913[[#This Row],[d (mm)]]</f>
        <v>925</v>
      </c>
      <c r="G30" s="111">
        <f t="shared" si="5"/>
        <v>828000</v>
      </c>
      <c r="H30" s="111">
        <f t="shared" si="0"/>
        <v>1.2575569048628739E-6</v>
      </c>
      <c r="I30" s="111">
        <f>G30/(Table1123457913[[#This Row],[b (mm)]]*Z30^2)</f>
        <v>3.2257121986851716E-3</v>
      </c>
      <c r="J30" s="111">
        <f t="shared" si="1"/>
        <v>0.5799385391222126</v>
      </c>
      <c r="K30" s="111">
        <f t="shared" si="2"/>
        <v>9.7677004668286683E-7</v>
      </c>
      <c r="L30" s="111">
        <f>E30/(Table1123457913[[#This Row],[b (mm)]]*Z30)</f>
        <v>9.945945945945946E-4</v>
      </c>
      <c r="M30" s="111">
        <f>Table1123457913[[#This Row],[M (KN.mm)]]/(Table1123457913[[#This Row],[b (mm)]]*Table1123457913[[#This Row],[d (mm)]])</f>
        <v>2.9837837837837839</v>
      </c>
      <c r="N30" s="111">
        <f>Table1123457913[[#This Row],[M (KN.mm)]]/(Table1123457913[[#This Row],[b (mm)]]*Table1123457913[[#This Row],[h (mm)]])</f>
        <v>2.76</v>
      </c>
      <c r="O30" s="111">
        <f>Table1123457913[[#This Row],[M (KN.mm)]]/(Table1123457913[[#This Row],[b (mm)]]*Table1123457913[[#This Row],[h (mm)]]*Table1123457913[[#This Row],[L(mm)]])</f>
        <v>4.6000000000000001E-4</v>
      </c>
      <c r="P30" s="111">
        <f>Table1123457913[[#This Row],[M (KN.mm)]]/(Table1123457913[[#This Row],[b (mm)]]*Table1123457913[[#This Row],[d (mm)]]*Table1123457913[[#This Row],[L(mm)]])</f>
        <v>4.972972972972973E-4</v>
      </c>
      <c r="Q30" s="111">
        <f>Table1123457913[[#This Row],[M (KN.mm)]]/(Table1123457913[[#This Row],[b (mm)]]*Table1123457913[[#This Row],[h (mm)]]*Table1123457913[[#This Row],[L(mm)]]*Table1123457913[[#This Row],[fc (Mpa)]])</f>
        <v>7.9310344827586208E-6</v>
      </c>
      <c r="R30" s="111">
        <f>Table1123457913[[#This Row],[M (KN.mm)]]/(Table1123457913[[#This Row],[b (mm)]]*Table1123457913[[#This Row],[h (mm)]]*Table1123457913[[#This Row],[L(mm)]]/2)</f>
        <v>9.2000000000000003E-4</v>
      </c>
      <c r="S30" s="111">
        <f>Table1123457913[[#This Row],[M (KN.mm)]]/(Table1123457913[[#This Row],[a (mm)]]*Table1123457913[[#This Row],[b (mm)]]*Table1123457913[[#This Row],[h (mm)]]*Table1123457913[[#This Row],[L(mm)]]/2)</f>
        <v>3.0666666666666666E-7</v>
      </c>
      <c r="T30" s="111">
        <f>G30/($AL$5*AH30*0.001*Table1123457913[[#This Row],[pho (%)]])</f>
        <v>1.2832213314927284E-6</v>
      </c>
      <c r="U30" s="111">
        <f>Table1123457913[[#This Row],[M (KN.mm)]]/(Table1123457913[[#This Row],[b (mm)]]*Table1123457913[[#This Row],[d (mm)]]*Table1123457913[[#This Row],[pho (%)]])</f>
        <v>3.0446773303916159</v>
      </c>
      <c r="V30" s="111">
        <f>E30*224.8/(2*SQRT(Table1123457913[[#This Row],[fc (Mpa)]]*145.037)*Table1123457913[[#This Row],[b (mm)]]*Table1123457913[[#This Row],[d (mm)]]*(1/25.4)^2)</f>
        <v>0.78636909728232052</v>
      </c>
      <c r="W30" s="111">
        <f>Table1123457913[[#This Row],[M (KN.mm)]]/$G$36</f>
        <v>0.4085862324204293</v>
      </c>
      <c r="X30" s="111">
        <f t="shared" si="6"/>
        <v>0.78636909728232052</v>
      </c>
      <c r="Y30" s="111">
        <v>3000</v>
      </c>
      <c r="Z30" s="111">
        <v>925</v>
      </c>
      <c r="AA30" s="111">
        <v>1000</v>
      </c>
      <c r="AB30" s="111">
        <v>300</v>
      </c>
      <c r="AC30" s="7">
        <v>58</v>
      </c>
      <c r="AD30" s="111">
        <f>Table1123457913[[#This Row],[pho (%)]]*Table1123457913[[#This Row],[b (mm)]]*Table1123457913[[#This Row],[h (mm)]]/100</f>
        <v>2940</v>
      </c>
      <c r="AE30" s="160">
        <f t="shared" si="4"/>
        <v>0.98</v>
      </c>
      <c r="AF30" s="160">
        <v>525</v>
      </c>
      <c r="AG30" s="111">
        <f>(1/3-0.21*(MIN(Table1123457913[[#This Row],[b (mm)]],AA30)/MAX(Table1123457913[[#This Row],[b (mm)]],AA30))*(MIN(Table1123457913[[#This Row],[b (mm)]],AA30)^4/(12*MAX(Table1123457913[[#This Row],[b (mm)]],AA30)^4)))*MAX(Table1123457913[[#This Row],[b (mm)]],AA30)*MIN(Table1123457913[[#This Row],[b (mm)]],AA30)^3</f>
        <v>8998851825</v>
      </c>
      <c r="AH30" s="111">
        <f>Table1123457913[[#This Row],[b (mm)]]*AA30^3/12</f>
        <v>25000000000</v>
      </c>
      <c r="AI30" s="111">
        <v>6000</v>
      </c>
      <c r="AK30" s="1"/>
    </row>
    <row r="31" spans="1:44" x14ac:dyDescent="0.25">
      <c r="A31" s="163" t="s">
        <v>191</v>
      </c>
      <c r="B31" s="285">
        <v>4</v>
      </c>
      <c r="C31" s="285">
        <v>37</v>
      </c>
      <c r="D31" s="275">
        <f>Table1123457913[[#This Row],[a (mm)]]/Table1123457913[[#This Row],[d (mm)]]</f>
        <v>3.2432432432432434</v>
      </c>
      <c r="E31" s="286">
        <f>699.5/2</f>
        <v>349.75</v>
      </c>
      <c r="F31" s="137">
        <f>Table1123457913[[#This Row],[d (mm)]]</f>
        <v>925</v>
      </c>
      <c r="G31" s="111">
        <f t="shared" si="5"/>
        <v>1049250</v>
      </c>
      <c r="H31" s="111">
        <f t="shared" si="0"/>
        <v>1.5935888676659064E-6</v>
      </c>
      <c r="I31" s="111">
        <f>G31/(Table1123457913[[#This Row],[b (mm)]]*Z31^2)</f>
        <v>4.0876552227903581E-3</v>
      </c>
      <c r="J31" s="111">
        <f t="shared" si="1"/>
        <v>0.7349040002101227</v>
      </c>
      <c r="K31" s="111">
        <f t="shared" si="2"/>
        <v>1.2377729124178721E-6</v>
      </c>
      <c r="L31" s="111">
        <f>E31/(Table1123457913[[#This Row],[b (mm)]]*Z31)</f>
        <v>1.2603603603603603E-3</v>
      </c>
      <c r="M31" s="111">
        <f>Table1123457913[[#This Row],[M (KN.mm)]]/(Table1123457913[[#This Row],[b (mm)]]*Table1123457913[[#This Row],[d (mm)]])</f>
        <v>3.7810810810810809</v>
      </c>
      <c r="N31" s="111">
        <f>Table1123457913[[#This Row],[M (KN.mm)]]/(Table1123457913[[#This Row],[b (mm)]]*Table1123457913[[#This Row],[h (mm)]])</f>
        <v>3.4975000000000001</v>
      </c>
      <c r="O31" s="111">
        <f>Table1123457913[[#This Row],[M (KN.mm)]]/(Table1123457913[[#This Row],[b (mm)]]*Table1123457913[[#This Row],[h (mm)]]*Table1123457913[[#This Row],[L(mm)]])</f>
        <v>5.829166666666667E-4</v>
      </c>
      <c r="P31" s="111">
        <f>Table1123457913[[#This Row],[M (KN.mm)]]/(Table1123457913[[#This Row],[b (mm)]]*Table1123457913[[#This Row],[d (mm)]]*Table1123457913[[#This Row],[L(mm)]])</f>
        <v>6.3018018018018017E-4</v>
      </c>
      <c r="Q31" s="111">
        <f>Table1123457913[[#This Row],[M (KN.mm)]]/(Table1123457913[[#This Row],[b (mm)]]*Table1123457913[[#This Row],[h (mm)]]*Table1123457913[[#This Row],[L(mm)]]*Table1123457913[[#This Row],[fc (Mpa)]])</f>
        <v>1.0050287356321838E-5</v>
      </c>
      <c r="R31" s="111">
        <f>Table1123457913[[#This Row],[M (KN.mm)]]/(Table1123457913[[#This Row],[b (mm)]]*Table1123457913[[#This Row],[h (mm)]]*Table1123457913[[#This Row],[L(mm)]]/2)</f>
        <v>1.1658333333333334E-3</v>
      </c>
      <c r="S31" s="111">
        <f>Table1123457913[[#This Row],[M (KN.mm)]]/(Table1123457913[[#This Row],[a (mm)]]*Table1123457913[[#This Row],[b (mm)]]*Table1123457913[[#This Row],[h (mm)]]*Table1123457913[[#This Row],[L(mm)]]/2)</f>
        <v>3.8861111111111113E-7</v>
      </c>
      <c r="T31" s="111">
        <f>G31/($AL$5*AH31*0.001*Table1123457913[[#This Row],[pho (%)]])</f>
        <v>1.6261110894550065E-6</v>
      </c>
      <c r="U31" s="111">
        <f>Table1123457913[[#This Row],[M (KN.mm)]]/(Table1123457913[[#This Row],[b (mm)]]*Table1123457913[[#This Row],[d (mm)]]*Table1123457913[[#This Row],[pho (%)]])</f>
        <v>3.8582460011031441</v>
      </c>
      <c r="V31" s="111">
        <f>E31*224.8/(2*SQRT(Table1123457913[[#This Row],[fc (Mpa)]]*145.037)*Table1123457913[[#This Row],[b (mm)]]*Table1123457913[[#This Row],[d (mm)]]*(1/25.4)^2)</f>
        <v>0.99649489773366517</v>
      </c>
      <c r="W31" s="111">
        <f>Table1123457913[[#This Row],[M (KN.mm)]]/$G$36</f>
        <v>0.5177646188008882</v>
      </c>
      <c r="X31" s="111">
        <f t="shared" si="6"/>
        <v>0.99649489773366517</v>
      </c>
      <c r="Y31" s="111">
        <v>3000</v>
      </c>
      <c r="Z31" s="111">
        <v>925</v>
      </c>
      <c r="AA31" s="111">
        <v>1000</v>
      </c>
      <c r="AB31" s="111">
        <v>300</v>
      </c>
      <c r="AC31" s="7">
        <v>58</v>
      </c>
      <c r="AD31" s="111">
        <f>Table1123457913[[#This Row],[pho (%)]]*Table1123457913[[#This Row],[b (mm)]]*Table1123457913[[#This Row],[h (mm)]]/100</f>
        <v>2940</v>
      </c>
      <c r="AE31" s="160">
        <f t="shared" si="4"/>
        <v>0.98</v>
      </c>
      <c r="AF31" s="160">
        <v>525</v>
      </c>
      <c r="AG31" s="111">
        <f>(1/3-0.21*(MIN(Table1123457913[[#This Row],[b (mm)]],AA31)/MAX(Table1123457913[[#This Row],[b (mm)]],AA31))*(MIN(Table1123457913[[#This Row],[b (mm)]],AA31)^4/(12*MAX(Table1123457913[[#This Row],[b (mm)]],AA31)^4)))*MAX(Table1123457913[[#This Row],[b (mm)]],AA31)*MIN(Table1123457913[[#This Row],[b (mm)]],AA31)^3</f>
        <v>8998851825</v>
      </c>
      <c r="AH31" s="111">
        <f>Table1123457913[[#This Row],[b (mm)]]*AA31^3/12</f>
        <v>25000000000</v>
      </c>
      <c r="AI31" s="111">
        <v>6000</v>
      </c>
      <c r="AK31" s="139"/>
      <c r="AL31" s="139"/>
      <c r="AM31" s="139"/>
      <c r="AN31" s="139"/>
      <c r="AO31" s="139"/>
      <c r="AP31" s="139"/>
      <c r="AQ31" s="1"/>
      <c r="AR31" s="1"/>
    </row>
    <row r="32" spans="1:44" x14ac:dyDescent="0.25">
      <c r="A32" s="163" t="s">
        <v>191</v>
      </c>
      <c r="B32" s="285">
        <v>5</v>
      </c>
      <c r="C32" s="285">
        <v>38</v>
      </c>
      <c r="D32" s="275">
        <f>Table1123457913[[#This Row],[a (mm)]]/Table1123457913[[#This Row],[d (mm)]]</f>
        <v>3.2432432432432434</v>
      </c>
      <c r="E32" s="286">
        <f>850/2</f>
        <v>425</v>
      </c>
      <c r="F32" s="137">
        <f>Table1123457913[[#This Row],[d (mm)]]</f>
        <v>925</v>
      </c>
      <c r="G32" s="111">
        <f t="shared" si="5"/>
        <v>1275000</v>
      </c>
      <c r="H32" s="111">
        <f t="shared" si="0"/>
        <v>1.9364553788649326E-6</v>
      </c>
      <c r="I32" s="111">
        <f>G32/(Table1123457913[[#This Row],[b (mm)]]*Z32^2)</f>
        <v>4.9671292914536154E-3</v>
      </c>
      <c r="J32" s="111">
        <f t="shared" si="1"/>
        <v>0.89302130118456646</v>
      </c>
      <c r="K32" s="111">
        <f t="shared" si="2"/>
        <v>1.5040843110152842E-6</v>
      </c>
      <c r="L32" s="111">
        <f>E32/(Table1123457913[[#This Row],[b (mm)]]*Z32)</f>
        <v>1.5315315315315315E-3</v>
      </c>
      <c r="M32" s="111">
        <f>Table1123457913[[#This Row],[M (KN.mm)]]/(Table1123457913[[#This Row],[b (mm)]]*Table1123457913[[#This Row],[d (mm)]])</f>
        <v>4.5945945945945947</v>
      </c>
      <c r="N32" s="111">
        <f>Table1123457913[[#This Row],[M (KN.mm)]]/(Table1123457913[[#This Row],[b (mm)]]*Table1123457913[[#This Row],[h (mm)]])</f>
        <v>4.25</v>
      </c>
      <c r="O32" s="111">
        <f>Table1123457913[[#This Row],[M (KN.mm)]]/(Table1123457913[[#This Row],[b (mm)]]*Table1123457913[[#This Row],[h (mm)]]*Table1123457913[[#This Row],[L(mm)]])</f>
        <v>7.0833333333333338E-4</v>
      </c>
      <c r="P32" s="111">
        <f>Table1123457913[[#This Row],[M (KN.mm)]]/(Table1123457913[[#This Row],[b (mm)]]*Table1123457913[[#This Row],[d (mm)]]*Table1123457913[[#This Row],[L(mm)]])</f>
        <v>7.6576576576576575E-4</v>
      </c>
      <c r="Q32" s="111">
        <f>Table1123457913[[#This Row],[M (KN.mm)]]/(Table1123457913[[#This Row],[b (mm)]]*Table1123457913[[#This Row],[h (mm)]]*Table1123457913[[#This Row],[L(mm)]]*Table1123457913[[#This Row],[fc (Mpa)]])</f>
        <v>1.221264367816092E-5</v>
      </c>
      <c r="R32" s="111">
        <f>Table1123457913[[#This Row],[M (KN.mm)]]/(Table1123457913[[#This Row],[b (mm)]]*Table1123457913[[#This Row],[h (mm)]]*Table1123457913[[#This Row],[L(mm)]]/2)</f>
        <v>1.4166666666666668E-3</v>
      </c>
      <c r="S32" s="111">
        <f>Table1123457913[[#This Row],[M (KN.mm)]]/(Table1123457913[[#This Row],[a (mm)]]*Table1123457913[[#This Row],[b (mm)]]*Table1123457913[[#This Row],[h (mm)]]*Table1123457913[[#This Row],[L(mm)]]/2)</f>
        <v>4.7222222222222221E-7</v>
      </c>
      <c r="T32" s="111">
        <f>G32/($AL$5*AH32*0.001*Table1123457913[[#This Row],[pho (%)]])</f>
        <v>1.9759748763927884E-6</v>
      </c>
      <c r="U32" s="111">
        <f>Table1123457913[[#This Row],[M (KN.mm)]]/(Table1123457913[[#This Row],[b (mm)]]*Table1123457913[[#This Row],[d (mm)]]*Table1123457913[[#This Row],[pho (%)]])</f>
        <v>4.6883618312189741</v>
      </c>
      <c r="V32" s="111">
        <f>E32*224.8/(2*SQRT(Table1123457913[[#This Row],[fc (Mpa)]]*145.037)*Table1123457913[[#This Row],[b (mm)]]*Table1123457913[[#This Row],[d (mm)]]*(1/25.4)^2)</f>
        <v>1.2108944432789355</v>
      </c>
      <c r="W32" s="111">
        <f>Table1123457913[[#This Row],[M (KN.mm)]]/$G$36</f>
        <v>0.62916358253145821</v>
      </c>
      <c r="X32" s="111">
        <f t="shared" si="6"/>
        <v>1.2108944432789355</v>
      </c>
      <c r="Y32" s="111">
        <v>3000</v>
      </c>
      <c r="Z32" s="111">
        <v>925</v>
      </c>
      <c r="AA32" s="111">
        <v>1000</v>
      </c>
      <c r="AB32" s="111">
        <v>300</v>
      </c>
      <c r="AC32" s="7">
        <v>58</v>
      </c>
      <c r="AD32" s="111">
        <f>Table1123457913[[#This Row],[pho (%)]]*Table1123457913[[#This Row],[b (mm)]]*Table1123457913[[#This Row],[h (mm)]]/100</f>
        <v>2940</v>
      </c>
      <c r="AE32" s="160">
        <f t="shared" si="4"/>
        <v>0.98</v>
      </c>
      <c r="AF32" s="160">
        <v>525</v>
      </c>
      <c r="AG32" s="111">
        <f>(1/3-0.21*(MIN(Table1123457913[[#This Row],[b (mm)]],AA32)/MAX(Table1123457913[[#This Row],[b (mm)]],AA32))*(MIN(Table1123457913[[#This Row],[b (mm)]],AA32)^4/(12*MAX(Table1123457913[[#This Row],[b (mm)]],AA32)^4)))*MAX(Table1123457913[[#This Row],[b (mm)]],AA32)*MIN(Table1123457913[[#This Row],[b (mm)]],AA32)^3</f>
        <v>8998851825</v>
      </c>
      <c r="AH32" s="111">
        <f>Table1123457913[[#This Row],[b (mm)]]*AA32^3/12</f>
        <v>25000000000</v>
      </c>
      <c r="AI32" s="111">
        <v>6000</v>
      </c>
      <c r="AK32" s="139"/>
      <c r="AL32" s="139"/>
      <c r="AM32" s="139"/>
      <c r="AN32" s="139"/>
      <c r="AO32" s="139"/>
      <c r="AP32" s="139"/>
      <c r="AQ32" s="1"/>
      <c r="AR32" s="1"/>
    </row>
    <row r="33" spans="1:44" x14ac:dyDescent="0.25">
      <c r="A33" s="163" t="s">
        <v>191</v>
      </c>
      <c r="B33" s="285">
        <v>6</v>
      </c>
      <c r="C33" s="285">
        <v>39</v>
      </c>
      <c r="D33" s="275">
        <f>Table1123457913[[#This Row],[a (mm)]]/Table1123457913[[#This Row],[d (mm)]]</f>
        <v>3.2432432432432434</v>
      </c>
      <c r="E33" s="286">
        <f>1003/2</f>
        <v>501.5</v>
      </c>
      <c r="F33" s="137">
        <f>Table1123457913[[#This Row],[d (mm)]]</f>
        <v>925</v>
      </c>
      <c r="G33" s="111">
        <f t="shared" si="5"/>
        <v>1504500</v>
      </c>
      <c r="H33" s="111">
        <f t="shared" si="0"/>
        <v>2.2850173470606205E-6</v>
      </c>
      <c r="I33" s="111">
        <f>G33/(Table1123457913[[#This Row],[b (mm)]]*Z33^2)</f>
        <v>5.8612125639152662E-3</v>
      </c>
      <c r="J33" s="111">
        <f t="shared" si="1"/>
        <v>1.0537651353977884</v>
      </c>
      <c r="K33" s="111">
        <f t="shared" si="2"/>
        <v>1.7748194869980353E-6</v>
      </c>
      <c r="L33" s="111">
        <f>E33/(Table1123457913[[#This Row],[b (mm)]]*Z33)</f>
        <v>1.8072072072072072E-3</v>
      </c>
      <c r="M33" s="111">
        <f>Table1123457913[[#This Row],[M (KN.mm)]]/(Table1123457913[[#This Row],[b (mm)]]*Table1123457913[[#This Row],[d (mm)]])</f>
        <v>5.4216216216216218</v>
      </c>
      <c r="N33" s="111">
        <f>Table1123457913[[#This Row],[M (KN.mm)]]/(Table1123457913[[#This Row],[b (mm)]]*Table1123457913[[#This Row],[h (mm)]])</f>
        <v>5.0149999999999997</v>
      </c>
      <c r="O33" s="111">
        <f>Table1123457913[[#This Row],[M (KN.mm)]]/(Table1123457913[[#This Row],[b (mm)]]*Table1123457913[[#This Row],[h (mm)]]*Table1123457913[[#This Row],[L(mm)]])</f>
        <v>8.3583333333333328E-4</v>
      </c>
      <c r="P33" s="111">
        <f>Table1123457913[[#This Row],[M (KN.mm)]]/(Table1123457913[[#This Row],[b (mm)]]*Table1123457913[[#This Row],[d (mm)]]*Table1123457913[[#This Row],[L(mm)]])</f>
        <v>9.0360360360360362E-4</v>
      </c>
      <c r="Q33" s="111">
        <f>Table1123457913[[#This Row],[M (KN.mm)]]/(Table1123457913[[#This Row],[b (mm)]]*Table1123457913[[#This Row],[h (mm)]]*Table1123457913[[#This Row],[L(mm)]]*Table1123457913[[#This Row],[fc (Mpa)]])</f>
        <v>1.4410919540229885E-5</v>
      </c>
      <c r="R33" s="111">
        <f>Table1123457913[[#This Row],[M (KN.mm)]]/(Table1123457913[[#This Row],[b (mm)]]*Table1123457913[[#This Row],[h (mm)]]*Table1123457913[[#This Row],[L(mm)]]/2)</f>
        <v>1.6716666666666666E-3</v>
      </c>
      <c r="S33" s="111">
        <f>Table1123457913[[#This Row],[M (KN.mm)]]/(Table1123457913[[#This Row],[a (mm)]]*Table1123457913[[#This Row],[b (mm)]]*Table1123457913[[#This Row],[h (mm)]]*Table1123457913[[#This Row],[L(mm)]]/2)</f>
        <v>5.5722222222222224E-7</v>
      </c>
      <c r="T33" s="111">
        <f>G33/($AL$5*AH33*0.001*Table1123457913[[#This Row],[pho (%)]])</f>
        <v>2.3316503541434905E-6</v>
      </c>
      <c r="U33" s="111">
        <f>Table1123457913[[#This Row],[M (KN.mm)]]/(Table1123457913[[#This Row],[b (mm)]]*Table1123457913[[#This Row],[d (mm)]]*Table1123457913[[#This Row],[pho (%)]])</f>
        <v>5.5322669608383892</v>
      </c>
      <c r="V33" s="111">
        <f>E33*224.8/(2*SQRT(Table1123457913[[#This Row],[fc (Mpa)]]*145.037)*Table1123457913[[#This Row],[b (mm)]]*Table1123457913[[#This Row],[d (mm)]]*(1/25.4)^2)</f>
        <v>1.428855443069144</v>
      </c>
      <c r="W33" s="111">
        <f>Table1123457913[[#This Row],[M (KN.mm)]]/$G$36</f>
        <v>0.74241302738712067</v>
      </c>
      <c r="X33" s="111">
        <f t="shared" si="6"/>
        <v>1.428855443069144</v>
      </c>
      <c r="Y33" s="111">
        <v>3000</v>
      </c>
      <c r="Z33" s="111">
        <v>925</v>
      </c>
      <c r="AA33" s="111">
        <v>1000</v>
      </c>
      <c r="AB33" s="111">
        <v>300</v>
      </c>
      <c r="AC33" s="7">
        <v>58</v>
      </c>
      <c r="AD33" s="111">
        <f>Table1123457913[[#This Row],[pho (%)]]*Table1123457913[[#This Row],[b (mm)]]*Table1123457913[[#This Row],[h (mm)]]/100</f>
        <v>2940</v>
      </c>
      <c r="AE33" s="160">
        <f t="shared" si="4"/>
        <v>0.98</v>
      </c>
      <c r="AF33" s="160">
        <v>525</v>
      </c>
      <c r="AG33" s="111">
        <f>(1/3-0.21*(MIN(Table1123457913[[#This Row],[b (mm)]],AA33)/MAX(Table1123457913[[#This Row],[b (mm)]],AA33))*(MIN(Table1123457913[[#This Row],[b (mm)]],AA33)^4/(12*MAX(Table1123457913[[#This Row],[b (mm)]],AA33)^4)))*MAX(Table1123457913[[#This Row],[b (mm)]],AA33)*MIN(Table1123457913[[#This Row],[b (mm)]],AA33)^3</f>
        <v>8998851825</v>
      </c>
      <c r="AH33" s="111">
        <f>Table1123457913[[#This Row],[b (mm)]]*AA33^3/12</f>
        <v>25000000000</v>
      </c>
      <c r="AI33" s="111">
        <v>6000</v>
      </c>
      <c r="AK33" s="139"/>
      <c r="AL33" s="139"/>
      <c r="AM33" s="139"/>
      <c r="AN33" s="139"/>
      <c r="AO33" s="139"/>
      <c r="AP33" s="139"/>
      <c r="AQ33" s="1"/>
      <c r="AR33" s="1"/>
    </row>
    <row r="34" spans="1:44" x14ac:dyDescent="0.25">
      <c r="A34" s="163" t="s">
        <v>191</v>
      </c>
      <c r="B34" s="285">
        <v>7</v>
      </c>
      <c r="C34" s="285">
        <v>40</v>
      </c>
      <c r="D34" s="275">
        <f>Table1123457913[[#This Row],[a (mm)]]/Table1123457913[[#This Row],[d (mm)]]</f>
        <v>3.2432432432432434</v>
      </c>
      <c r="E34" s="286">
        <f>1154/2</f>
        <v>577</v>
      </c>
      <c r="F34" s="137">
        <f>Table1123457913[[#This Row],[d (mm)]]</f>
        <v>925</v>
      </c>
      <c r="G34" s="111">
        <f t="shared" si="5"/>
        <v>1731000</v>
      </c>
      <c r="H34" s="111">
        <f t="shared" si="0"/>
        <v>2.6290229496589792E-6</v>
      </c>
      <c r="I34" s="111">
        <f>G34/(Table1123457913[[#This Row],[b (mm)]]*Z34^2)</f>
        <v>6.7436084733382027E-3</v>
      </c>
      <c r="J34" s="111">
        <f t="shared" si="1"/>
        <v>1.212407743019988</v>
      </c>
      <c r="K34" s="111">
        <f t="shared" si="2"/>
        <v>2.0420156410725153E-6</v>
      </c>
      <c r="L34" s="111">
        <f>E34/(Table1123457913[[#This Row],[b (mm)]]*Z34)</f>
        <v>2.0792792792792792E-3</v>
      </c>
      <c r="M34" s="111">
        <f>Table1123457913[[#This Row],[M (KN.mm)]]/(Table1123457913[[#This Row],[b (mm)]]*Table1123457913[[#This Row],[d (mm)]])</f>
        <v>6.2378378378378381</v>
      </c>
      <c r="N34" s="111">
        <f>Table1123457913[[#This Row],[M (KN.mm)]]/(Table1123457913[[#This Row],[b (mm)]]*Table1123457913[[#This Row],[h (mm)]])</f>
        <v>5.77</v>
      </c>
      <c r="O34" s="111">
        <f>Table1123457913[[#This Row],[M (KN.mm)]]/(Table1123457913[[#This Row],[b (mm)]]*Table1123457913[[#This Row],[h (mm)]]*Table1123457913[[#This Row],[L(mm)]])</f>
        <v>9.6166666666666666E-4</v>
      </c>
      <c r="P34" s="111">
        <f>Table1123457913[[#This Row],[M (KN.mm)]]/(Table1123457913[[#This Row],[b (mm)]]*Table1123457913[[#This Row],[d (mm)]]*Table1123457913[[#This Row],[L(mm)]])</f>
        <v>1.0396396396396396E-3</v>
      </c>
      <c r="Q34" s="111">
        <f>Table1123457913[[#This Row],[M (KN.mm)]]/(Table1123457913[[#This Row],[b (mm)]]*Table1123457913[[#This Row],[h (mm)]]*Table1123457913[[#This Row],[L(mm)]]*Table1123457913[[#This Row],[fc (Mpa)]])</f>
        <v>1.6580459770114942E-5</v>
      </c>
      <c r="R34" s="111">
        <f>Table1123457913[[#This Row],[M (KN.mm)]]/(Table1123457913[[#This Row],[b (mm)]]*Table1123457913[[#This Row],[h (mm)]]*Table1123457913[[#This Row],[L(mm)]]/2)</f>
        <v>1.9233333333333333E-3</v>
      </c>
      <c r="S34" s="111">
        <f>Table1123457913[[#This Row],[M (KN.mm)]]/(Table1123457913[[#This Row],[a (mm)]]*Table1123457913[[#This Row],[b (mm)]]*Table1123457913[[#This Row],[h (mm)]]*Table1123457913[[#This Row],[L(mm)]]/2)</f>
        <v>6.4111111111111109E-7</v>
      </c>
      <c r="T34" s="111">
        <f>G34/($AL$5*AH34*0.001*Table1123457913[[#This Row],[pho (%)]])</f>
        <v>2.6826764792438562E-6</v>
      </c>
      <c r="U34" s="111">
        <f>Table1123457913[[#This Row],[M (KN.mm)]]/(Table1123457913[[#This Row],[b (mm)]]*Table1123457913[[#This Row],[d (mm)]]*Table1123457913[[#This Row],[pho (%)]])</f>
        <v>6.3651406508549364</v>
      </c>
      <c r="V34" s="111">
        <f>E34*224.8/(2*SQRT(Table1123457913[[#This Row],[fc (Mpa)]]*145.037)*Table1123457913[[#This Row],[b (mm)]]*Table1123457913[[#This Row],[d (mm)]]*(1/25.4)^2)</f>
        <v>1.6439672794634019</v>
      </c>
      <c r="W34" s="111">
        <f>Table1123457913[[#This Row],[M (KN.mm)]]/$G$36</f>
        <v>0.85418208734270906</v>
      </c>
      <c r="X34" s="111">
        <f t="shared" si="6"/>
        <v>1.6439672794634019</v>
      </c>
      <c r="Y34" s="111">
        <v>3000</v>
      </c>
      <c r="Z34" s="111">
        <v>925</v>
      </c>
      <c r="AA34" s="111">
        <v>1000</v>
      </c>
      <c r="AB34" s="111">
        <v>300</v>
      </c>
      <c r="AC34" s="7">
        <v>58</v>
      </c>
      <c r="AD34" s="111">
        <f>Table1123457913[[#This Row],[pho (%)]]*Table1123457913[[#This Row],[b (mm)]]*Table1123457913[[#This Row],[h (mm)]]/100</f>
        <v>2940</v>
      </c>
      <c r="AE34" s="160">
        <f t="shared" si="4"/>
        <v>0.98</v>
      </c>
      <c r="AF34" s="160">
        <v>525</v>
      </c>
      <c r="AG34" s="111">
        <f>(1/3-0.21*(MIN(Table1123457913[[#This Row],[b (mm)]],AA34)/MAX(Table1123457913[[#This Row],[b (mm)]],AA34))*(MIN(Table1123457913[[#This Row],[b (mm)]],AA34)^4/(12*MAX(Table1123457913[[#This Row],[b (mm)]],AA34)^4)))*MAX(Table1123457913[[#This Row],[b (mm)]],AA34)*MIN(Table1123457913[[#This Row],[b (mm)]],AA34)^3</f>
        <v>8998851825</v>
      </c>
      <c r="AH34" s="111">
        <f>Table1123457913[[#This Row],[b (mm)]]*AA34^3/12</f>
        <v>25000000000</v>
      </c>
      <c r="AI34" s="111">
        <v>6000</v>
      </c>
      <c r="AK34" s="139"/>
      <c r="AL34" s="139"/>
      <c r="AM34" s="139"/>
      <c r="AN34" s="139"/>
      <c r="AO34" s="139"/>
      <c r="AP34" s="139"/>
      <c r="AQ34" s="1"/>
      <c r="AR34" s="1"/>
    </row>
    <row r="35" spans="1:44" x14ac:dyDescent="0.25">
      <c r="A35" s="163" t="s">
        <v>191</v>
      </c>
      <c r="B35" s="285">
        <v>8</v>
      </c>
      <c r="C35" s="285">
        <v>41</v>
      </c>
      <c r="D35" s="275">
        <f>Table1123457913[[#This Row],[a (mm)]]/Table1123457913[[#This Row],[d (mm)]]</f>
        <v>3.2432432432432434</v>
      </c>
      <c r="E35" s="286">
        <f>1299/2</f>
        <v>649.5</v>
      </c>
      <c r="F35" s="137">
        <f>Table1123457913[[#This Row],[d (mm)]]</f>
        <v>925</v>
      </c>
      <c r="G35" s="111">
        <f t="shared" si="5"/>
        <v>1948500</v>
      </c>
      <c r="H35" s="111">
        <f t="shared" si="0"/>
        <v>2.9593594554653501E-6</v>
      </c>
      <c r="I35" s="111">
        <f>G35/(Table1123457913[[#This Row],[b (mm)]]*Z35^2)</f>
        <v>7.5909422936449962E-3</v>
      </c>
      <c r="J35" s="111">
        <f t="shared" si="1"/>
        <v>1.3647466708691198</v>
      </c>
      <c r="K35" s="111">
        <f t="shared" si="2"/>
        <v>2.2985947294221813E-6</v>
      </c>
      <c r="L35" s="111">
        <f>E35/(Table1123457913[[#This Row],[b (mm)]]*Z35)</f>
        <v>2.3405405405405406E-3</v>
      </c>
      <c r="M35" s="111">
        <f>Table1123457913[[#This Row],[M (KN.mm)]]/(Table1123457913[[#This Row],[b (mm)]]*Table1123457913[[#This Row],[d (mm)]])</f>
        <v>7.0216216216216214</v>
      </c>
      <c r="N35" s="111">
        <f>Table1123457913[[#This Row],[M (KN.mm)]]/(Table1123457913[[#This Row],[b (mm)]]*Table1123457913[[#This Row],[h (mm)]])</f>
        <v>6.4950000000000001</v>
      </c>
      <c r="O35" s="111">
        <f>Table1123457913[[#This Row],[M (KN.mm)]]/(Table1123457913[[#This Row],[b (mm)]]*Table1123457913[[#This Row],[h (mm)]]*Table1123457913[[#This Row],[L(mm)]])</f>
        <v>1.0824999999999999E-3</v>
      </c>
      <c r="P35" s="111">
        <f>Table1123457913[[#This Row],[M (KN.mm)]]/(Table1123457913[[#This Row],[b (mm)]]*Table1123457913[[#This Row],[d (mm)]]*Table1123457913[[#This Row],[L(mm)]])</f>
        <v>1.1702702702702703E-3</v>
      </c>
      <c r="Q35" s="111">
        <f>Table1123457913[[#This Row],[M (KN.mm)]]/(Table1123457913[[#This Row],[b (mm)]]*Table1123457913[[#This Row],[h (mm)]]*Table1123457913[[#This Row],[L(mm)]]*Table1123457913[[#This Row],[fc (Mpa)]])</f>
        <v>1.8663793103448276E-5</v>
      </c>
      <c r="R35" s="111">
        <f>Table1123457913[[#This Row],[M (KN.mm)]]/(Table1123457913[[#This Row],[b (mm)]]*Table1123457913[[#This Row],[h (mm)]]*Table1123457913[[#This Row],[L(mm)]]/2)</f>
        <v>2.1649999999999998E-3</v>
      </c>
      <c r="S35" s="111">
        <f>Table1123457913[[#This Row],[M (KN.mm)]]/(Table1123457913[[#This Row],[a (mm)]]*Table1123457913[[#This Row],[b (mm)]]*Table1123457913[[#This Row],[h (mm)]]*Table1123457913[[#This Row],[L(mm)]]/2)</f>
        <v>7.2166666666666671E-7</v>
      </c>
      <c r="T35" s="111">
        <f>G35/($AL$5*AH35*0.001*Table1123457913[[#This Row],[pho (%)]])</f>
        <v>3.0197545463932142E-6</v>
      </c>
      <c r="U35" s="111">
        <f>Table1123457913[[#This Row],[M (KN.mm)]]/(Table1123457913[[#This Row],[b (mm)]]*Table1123457913[[#This Row],[d (mm)]]*Table1123457913[[#This Row],[pho (%)]])</f>
        <v>7.164920022062879</v>
      </c>
      <c r="V35" s="111">
        <f>E35*224.8/(2*SQRT(Table1123457913[[#This Row],[fc (Mpa)]]*145.037)*Table1123457913[[#This Row],[b (mm)]]*Table1123457913[[#This Row],[d (mm)]]*(1/25.4)^2)</f>
        <v>1.8505316256698086</v>
      </c>
      <c r="W35" s="111">
        <f>Table1123457913[[#This Row],[M (KN.mm)]]/$G$36</f>
        <v>0.96150999259807546</v>
      </c>
      <c r="X35" s="111">
        <f t="shared" si="6"/>
        <v>1.8505316256698086</v>
      </c>
      <c r="Y35" s="111">
        <v>3000</v>
      </c>
      <c r="Z35" s="111">
        <v>925</v>
      </c>
      <c r="AA35" s="111">
        <v>1000</v>
      </c>
      <c r="AB35" s="111">
        <v>300</v>
      </c>
      <c r="AC35" s="7">
        <v>58</v>
      </c>
      <c r="AD35" s="111">
        <f>Table1123457913[[#This Row],[pho (%)]]*Table1123457913[[#This Row],[b (mm)]]*Table1123457913[[#This Row],[h (mm)]]/100</f>
        <v>2940</v>
      </c>
      <c r="AE35" s="160">
        <f t="shared" si="4"/>
        <v>0.98</v>
      </c>
      <c r="AF35" s="160">
        <v>525</v>
      </c>
      <c r="AG35" s="111">
        <f>(1/3-0.21*(MIN(Table1123457913[[#This Row],[b (mm)]],AA35)/MAX(Table1123457913[[#This Row],[b (mm)]],AA35))*(MIN(Table1123457913[[#This Row],[b (mm)]],AA35)^4/(12*MAX(Table1123457913[[#This Row],[b (mm)]],AA35)^4)))*MAX(Table1123457913[[#This Row],[b (mm)]],AA35)*MIN(Table1123457913[[#This Row],[b (mm)]],AA35)^3</f>
        <v>8998851825</v>
      </c>
      <c r="AH35" s="111">
        <f>Table1123457913[[#This Row],[b (mm)]]*AA35^3/12</f>
        <v>25000000000</v>
      </c>
      <c r="AI35" s="111">
        <v>6000</v>
      </c>
      <c r="AK35" s="139"/>
      <c r="AL35" s="139"/>
      <c r="AM35" s="139"/>
      <c r="AN35" s="139"/>
      <c r="AO35" s="139"/>
      <c r="AP35" s="139"/>
      <c r="AQ35" s="1"/>
      <c r="AR35" s="1"/>
    </row>
    <row r="36" spans="1:44" x14ac:dyDescent="0.25">
      <c r="A36" s="163" t="s">
        <v>191</v>
      </c>
      <c r="B36" s="285" t="s">
        <v>192</v>
      </c>
      <c r="C36" s="285">
        <v>42</v>
      </c>
      <c r="D36" s="275">
        <f>Table1123457913[[#This Row],[a (mm)]]/Table1123457913[[#This Row],[d (mm)]]</f>
        <v>3.2432432432432434</v>
      </c>
      <c r="E36" s="286">
        <f>1351/2</f>
        <v>675.5</v>
      </c>
      <c r="F36" s="137">
        <f>Table1123457913[[#This Row],[d (mm)]]</f>
        <v>925</v>
      </c>
      <c r="G36" s="111">
        <f>E36*Y36</f>
        <v>2026500</v>
      </c>
      <c r="H36" s="111">
        <f t="shared" si="0"/>
        <v>3.0778249609959107E-6</v>
      </c>
      <c r="I36" s="111">
        <f>G36/(Table1123457913[[#This Row],[b (mm)]]*Z36^2)</f>
        <v>7.8948137326515701E-3</v>
      </c>
      <c r="J36" s="111">
        <f t="shared" si="1"/>
        <v>1.4193785622357051</v>
      </c>
      <c r="K36" s="111">
        <f>E36/($AL$4*AG36*0.001)</f>
        <v>2.3906092990372339E-6</v>
      </c>
      <c r="L36" s="111">
        <f>E36/(Table1123457913[[#This Row],[b (mm)]]*Z36)</f>
        <v>2.4342342342342344E-3</v>
      </c>
      <c r="M36" s="111">
        <f>Table1123457913[[#This Row],[M (KN.mm)]]/(Table1123457913[[#This Row],[b (mm)]]*Table1123457913[[#This Row],[d (mm)]])</f>
        <v>7.3027027027027023</v>
      </c>
      <c r="N36" s="111">
        <f>Table1123457913[[#This Row],[M (KN.mm)]]/(Table1123457913[[#This Row],[b (mm)]]*Table1123457913[[#This Row],[h (mm)]])</f>
        <v>6.7549999999999999</v>
      </c>
      <c r="O36" s="111">
        <f>Table1123457913[[#This Row],[M (KN.mm)]]/(Table1123457913[[#This Row],[b (mm)]]*Table1123457913[[#This Row],[h (mm)]]*Table1123457913[[#This Row],[L(mm)]])</f>
        <v>1.1258333333333333E-3</v>
      </c>
      <c r="P36" s="111">
        <f>Table1123457913[[#This Row],[M (KN.mm)]]/(Table1123457913[[#This Row],[b (mm)]]*Table1123457913[[#This Row],[d (mm)]]*Table1123457913[[#This Row],[L(mm)]])</f>
        <v>1.2171171171171172E-3</v>
      </c>
      <c r="Q36" s="111">
        <f>Table1123457913[[#This Row],[M (KN.mm)]]/(Table1123457913[[#This Row],[b (mm)]]*Table1123457913[[#This Row],[h (mm)]]*Table1123457913[[#This Row],[L(mm)]]*Table1123457913[[#This Row],[fc (Mpa)]])</f>
        <v>1.9410919540229885E-5</v>
      </c>
      <c r="R36" s="111">
        <f>Table1123457913[[#This Row],[M (KN.mm)]]/(Table1123457913[[#This Row],[b (mm)]]*Table1123457913[[#This Row],[h (mm)]]*Table1123457913[[#This Row],[L(mm)]]/2)</f>
        <v>2.2516666666666666E-3</v>
      </c>
      <c r="S36" s="111">
        <f>Table1123457913[[#This Row],[M (KN.mm)]]/(Table1123457913[[#This Row],[a (mm)]]*Table1123457913[[#This Row],[b (mm)]]*Table1123457913[[#This Row],[h (mm)]]*Table1123457913[[#This Row],[L(mm)]]/2)</f>
        <v>7.5055555555555556E-7</v>
      </c>
      <c r="T36" s="111">
        <f>G36/($AL$5*AH36*0.001*Table1123457913[[#This Row],[pho (%)]])</f>
        <v>3.1406377153019496E-6</v>
      </c>
      <c r="U36" s="111">
        <f>Table1123457913[[#This Row],[M (KN.mm)]]/(Table1123457913[[#This Row],[b (mm)]]*Table1123457913[[#This Row],[d (mm)]]*Table1123457913[[#This Row],[pho (%)]])</f>
        <v>7.4517374517374515</v>
      </c>
      <c r="V36" s="111">
        <f>E36*224.8/(2*SQRT(Table1123457913[[#This Row],[fc (Mpa)]]*145.037)*Table1123457913[[#This Row],[b (mm)]]*Table1123457913[[#This Row],[d (mm)]]*(1/25.4)^2)</f>
        <v>1.9246098739645199</v>
      </c>
      <c r="W36" s="111">
        <f>Table1123457913[[#This Row],[M (KN.mm)]]/$G$36</f>
        <v>1</v>
      </c>
      <c r="X36" s="111">
        <f>V36</f>
        <v>1.9246098739645199</v>
      </c>
      <c r="Y36" s="111">
        <v>3000</v>
      </c>
      <c r="Z36" s="111">
        <v>925</v>
      </c>
      <c r="AA36" s="111">
        <v>1000</v>
      </c>
      <c r="AB36" s="111">
        <v>300</v>
      </c>
      <c r="AC36" s="7">
        <v>58</v>
      </c>
      <c r="AD36" s="111">
        <f>Table1123457913[[#This Row],[pho (%)]]*Table1123457913[[#This Row],[b (mm)]]*Table1123457913[[#This Row],[h (mm)]]/100</f>
        <v>2940</v>
      </c>
      <c r="AE36" s="160">
        <f t="shared" si="4"/>
        <v>0.98</v>
      </c>
      <c r="AF36" s="160">
        <v>525</v>
      </c>
      <c r="AG36" s="111">
        <f>(1/3-0.21*(MIN(Table1123457913[[#This Row],[b (mm)]],AA36)/MAX(Table1123457913[[#This Row],[b (mm)]],AA36))*(MIN(Table1123457913[[#This Row],[b (mm)]],AA36)^4/(12*MAX(Table1123457913[[#This Row],[b (mm)]],AA36)^4)))*MAX(Table1123457913[[#This Row],[b (mm)]],AA36)*MIN(Table1123457913[[#This Row],[b (mm)]],AA36)^3</f>
        <v>8998851825</v>
      </c>
      <c r="AH36" s="111">
        <f>Table1123457913[[#This Row],[b (mm)]]*AA36^3/12</f>
        <v>25000000000</v>
      </c>
      <c r="AI36" s="111">
        <v>6000</v>
      </c>
      <c r="AK36" s="139"/>
      <c r="AL36" s="139"/>
      <c r="AM36" s="139"/>
      <c r="AN36" s="139"/>
      <c r="AO36" s="139"/>
      <c r="AP36" s="139"/>
      <c r="AQ36" s="1"/>
      <c r="AR36" s="1"/>
    </row>
    <row r="37" spans="1:44" customFormat="1" x14ac:dyDescent="0.25">
      <c r="B37" s="1"/>
      <c r="C37" s="1"/>
      <c r="D37" s="177"/>
      <c r="E37" s="177"/>
    </row>
    <row r="38" spans="1:44" x14ac:dyDescent="0.25">
      <c r="A38"/>
      <c r="B38" s="1"/>
      <c r="C38" s="1"/>
      <c r="D38" s="177"/>
      <c r="E38" s="177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K38"/>
      <c r="AL38"/>
      <c r="AM38"/>
      <c r="AN38" s="139"/>
      <c r="AO38" s="139"/>
      <c r="AP38" s="139"/>
      <c r="AQ38" s="1"/>
      <c r="AR38" s="1"/>
    </row>
    <row r="39" spans="1:44" x14ac:dyDescent="0.25">
      <c r="A39"/>
      <c r="B39" s="1"/>
      <c r="C39" s="1"/>
      <c r="D39" s="177"/>
      <c r="E39" s="177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K39"/>
      <c r="AL39"/>
      <c r="AM39"/>
      <c r="AN39" s="139"/>
      <c r="AO39" s="139"/>
      <c r="AP39" s="139"/>
      <c r="AQ39" s="1"/>
      <c r="AR39" s="1"/>
    </row>
    <row r="40" spans="1:44" x14ac:dyDescent="0.25">
      <c r="A40"/>
      <c r="B40" s="1"/>
      <c r="C40" s="1"/>
      <c r="D40" s="177"/>
      <c r="E40" s="177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K40"/>
      <c r="AL40"/>
      <c r="AM40"/>
      <c r="AN40" s="139"/>
      <c r="AO40" s="139"/>
      <c r="AP40" s="139"/>
      <c r="AQ40" s="1"/>
      <c r="AR40" s="1"/>
    </row>
    <row r="41" spans="1:44" x14ac:dyDescent="0.25">
      <c r="A41"/>
      <c r="B41" s="1"/>
      <c r="C41" s="1"/>
      <c r="D41" s="177"/>
      <c r="E41" s="177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K41"/>
      <c r="AL41"/>
      <c r="AM41"/>
      <c r="AN41" s="139"/>
      <c r="AO41" s="139"/>
      <c r="AP41" s="139"/>
      <c r="AQ41" s="1"/>
      <c r="AR41" s="1"/>
    </row>
    <row r="42" spans="1:44" x14ac:dyDescent="0.25">
      <c r="A42"/>
      <c r="B42" s="1"/>
      <c r="C42" s="1"/>
      <c r="D42" s="177"/>
      <c r="E42" s="17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K42"/>
      <c r="AL42"/>
      <c r="AM42"/>
      <c r="AN42" s="139"/>
      <c r="AO42" s="139"/>
      <c r="AP42" s="139"/>
      <c r="AQ42" s="1"/>
      <c r="AR42" s="1"/>
    </row>
    <row r="43" spans="1:44" x14ac:dyDescent="0.25">
      <c r="A43"/>
      <c r="B43" s="1"/>
      <c r="C43" s="1"/>
      <c r="D43" s="177"/>
      <c r="E43" s="177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K43"/>
      <c r="AL43"/>
      <c r="AM43"/>
      <c r="AN43" s="139"/>
      <c r="AO43" s="139"/>
      <c r="AP43" s="139"/>
      <c r="AQ43" s="1"/>
      <c r="AR43" s="1"/>
    </row>
    <row r="44" spans="1:44" x14ac:dyDescent="0.25">
      <c r="A44"/>
      <c r="B44" s="1"/>
      <c r="C44" s="1"/>
      <c r="D44" s="177"/>
      <c r="E44" s="177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K44"/>
      <c r="AL44"/>
      <c r="AM44"/>
      <c r="AN44" s="139"/>
      <c r="AO44" s="139"/>
      <c r="AP44" s="139"/>
      <c r="AQ44" s="1"/>
      <c r="AR44" s="1"/>
    </row>
    <row r="45" spans="1:44" x14ac:dyDescent="0.25">
      <c r="A45"/>
      <c r="B45" s="1"/>
      <c r="C45" s="1"/>
      <c r="D45" s="177"/>
      <c r="E45" s="17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K45"/>
      <c r="AL45"/>
      <c r="AM45"/>
      <c r="AN45" s="139"/>
      <c r="AO45" s="139"/>
      <c r="AP45" s="139"/>
      <c r="AQ45" s="1"/>
      <c r="AR45" s="1"/>
    </row>
    <row r="46" spans="1:44" x14ac:dyDescent="0.25">
      <c r="A46"/>
      <c r="B46" s="1"/>
      <c r="C46" s="1"/>
      <c r="D46" s="177"/>
      <c r="E46" s="17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K46"/>
      <c r="AL46"/>
      <c r="AM46"/>
      <c r="AN46" s="139"/>
      <c r="AO46" s="139"/>
      <c r="AP46" s="139"/>
      <c r="AQ46" s="1"/>
      <c r="AR46" s="1"/>
    </row>
    <row r="47" spans="1:44" x14ac:dyDescent="0.25">
      <c r="A47"/>
      <c r="B47" s="1"/>
      <c r="C47" s="1"/>
      <c r="D47" s="177"/>
      <c r="E47" s="17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K47"/>
      <c r="AL47"/>
      <c r="AM47"/>
      <c r="AN47" s="105"/>
      <c r="AO47" s="105"/>
      <c r="AP47" s="105"/>
    </row>
    <row r="48" spans="1:44" x14ac:dyDescent="0.25">
      <c r="A48"/>
      <c r="B48" s="1"/>
      <c r="C48" s="1"/>
      <c r="D48" s="177"/>
      <c r="E48" s="17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K48"/>
      <c r="AL48"/>
      <c r="AM48"/>
      <c r="AN48" s="105"/>
      <c r="AO48" s="105"/>
      <c r="AP48" s="105"/>
    </row>
    <row r="49" spans="1:42" x14ac:dyDescent="0.25">
      <c r="A49"/>
      <c r="B49" s="1"/>
      <c r="C49" s="1"/>
      <c r="D49" s="177"/>
      <c r="E49" s="17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K49"/>
      <c r="AL49"/>
      <c r="AM49"/>
      <c r="AN49" s="105"/>
      <c r="AO49" s="105"/>
      <c r="AP49" s="105"/>
    </row>
    <row r="50" spans="1:42" x14ac:dyDescent="0.25">
      <c r="A50"/>
      <c r="B50" s="1"/>
      <c r="C50" s="1"/>
      <c r="D50" s="177"/>
      <c r="E50" s="17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K50"/>
      <c r="AL50"/>
      <c r="AM50"/>
    </row>
    <row r="51" spans="1:42" x14ac:dyDescent="0.25">
      <c r="A51"/>
      <c r="B51" s="1"/>
      <c r="C51" s="1"/>
      <c r="D51" s="177"/>
      <c r="E51" s="17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K51"/>
      <c r="AL51"/>
      <c r="AM51"/>
    </row>
    <row r="52" spans="1:42" x14ac:dyDescent="0.25">
      <c r="A52"/>
      <c r="B52" s="1"/>
      <c r="C52" s="1"/>
      <c r="D52" s="177"/>
      <c r="E52" s="177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K52"/>
      <c r="AL52"/>
      <c r="AM52"/>
    </row>
    <row r="53" spans="1:42" x14ac:dyDescent="0.25">
      <c r="A53"/>
      <c r="B53" s="1"/>
      <c r="C53" s="1"/>
      <c r="D53" s="177"/>
      <c r="E53" s="177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K53"/>
      <c r="AL53"/>
      <c r="AM53"/>
    </row>
    <row r="54" spans="1:42" x14ac:dyDescent="0.25">
      <c r="A54"/>
      <c r="B54" s="1"/>
      <c r="C54" s="1"/>
      <c r="D54" s="177"/>
      <c r="E54" s="17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K54"/>
      <c r="AL54"/>
      <c r="AM54"/>
    </row>
    <row r="55" spans="1:42" x14ac:dyDescent="0.25">
      <c r="A55"/>
      <c r="B55" s="1"/>
      <c r="C55" s="1"/>
      <c r="D55" s="177"/>
      <c r="E55" s="17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K55"/>
      <c r="AL55"/>
      <c r="AM55"/>
    </row>
    <row r="56" spans="1:42" x14ac:dyDescent="0.25">
      <c r="A56"/>
      <c r="B56" s="1"/>
      <c r="C56" s="1"/>
      <c r="D56" s="177"/>
      <c r="E56" s="17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K56"/>
      <c r="AL56"/>
      <c r="AM56"/>
    </row>
    <row r="57" spans="1:42" s="1" customFormat="1" x14ac:dyDescent="0.25">
      <c r="A57"/>
      <c r="D57" s="177"/>
      <c r="E57" s="17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42" s="1" customFormat="1" x14ac:dyDescent="0.25">
      <c r="A58"/>
      <c r="D58" s="177"/>
      <c r="E58" s="17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42" s="1" customFormat="1" x14ac:dyDescent="0.25">
      <c r="A59"/>
      <c r="D59" s="177"/>
      <c r="E59" s="17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42" x14ac:dyDescent="0.25">
      <c r="A60"/>
      <c r="B60" s="1"/>
      <c r="C60" s="1"/>
      <c r="D60" s="177"/>
      <c r="E60" s="17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K60"/>
      <c r="AL60"/>
      <c r="AM60"/>
    </row>
    <row r="61" spans="1:42" x14ac:dyDescent="0.25">
      <c r="A61"/>
      <c r="B61" s="1"/>
      <c r="C61" s="1"/>
      <c r="D61" s="177"/>
      <c r="E61" s="17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K61"/>
      <c r="AL61"/>
      <c r="AM61"/>
    </row>
    <row r="62" spans="1:42" x14ac:dyDescent="0.25">
      <c r="A62"/>
      <c r="B62" s="1"/>
      <c r="C62" s="1"/>
      <c r="D62" s="177"/>
      <c r="E62" s="17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K62"/>
      <c r="AL62"/>
      <c r="AM62"/>
    </row>
    <row r="63" spans="1:42" x14ac:dyDescent="0.25">
      <c r="A63"/>
      <c r="B63" s="1"/>
      <c r="C63" s="1"/>
      <c r="D63" s="177"/>
      <c r="E63" s="17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K63"/>
      <c r="AL63"/>
      <c r="AM63"/>
    </row>
    <row r="64" spans="1:42" x14ac:dyDescent="0.25">
      <c r="A64"/>
      <c r="B64" s="1"/>
      <c r="C64" s="1"/>
      <c r="D64" s="177"/>
      <c r="E64" s="17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K64"/>
      <c r="AL64"/>
      <c r="AM64"/>
    </row>
    <row r="65" spans="1:39" x14ac:dyDescent="0.25">
      <c r="A65"/>
      <c r="B65" s="1"/>
      <c r="C65" s="1"/>
      <c r="D65" s="177"/>
      <c r="E65" s="17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K65"/>
      <c r="AL65"/>
      <c r="AM65"/>
    </row>
    <row r="66" spans="1:39" x14ac:dyDescent="0.25">
      <c r="A66"/>
      <c r="B66" s="1"/>
      <c r="C66" s="1"/>
      <c r="D66" s="177"/>
      <c r="E66" s="17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K66"/>
      <c r="AL66"/>
      <c r="AM66"/>
    </row>
    <row r="67" spans="1:39" x14ac:dyDescent="0.25">
      <c r="A67"/>
      <c r="B67" s="1"/>
      <c r="C67" s="1"/>
      <c r="D67" s="177"/>
      <c r="E67" s="17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K67"/>
      <c r="AL67"/>
      <c r="AM67"/>
    </row>
    <row r="68" spans="1:39" x14ac:dyDescent="0.25">
      <c r="A68"/>
      <c r="B68" s="1"/>
      <c r="C68" s="1"/>
      <c r="D68" s="177"/>
      <c r="E68" s="17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K68"/>
      <c r="AL68"/>
      <c r="AM68"/>
    </row>
    <row r="69" spans="1:39" x14ac:dyDescent="0.25">
      <c r="A69"/>
      <c r="B69" s="1"/>
      <c r="C69" s="1"/>
      <c r="D69" s="177"/>
      <c r="E69" s="17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K69"/>
      <c r="AL69"/>
      <c r="AM69"/>
    </row>
    <row r="70" spans="1:39" x14ac:dyDescent="0.25">
      <c r="A70"/>
      <c r="B70" s="1"/>
      <c r="C70" s="1"/>
      <c r="D70" s="177"/>
      <c r="E70" s="17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K70"/>
      <c r="AL70"/>
      <c r="AM70"/>
    </row>
    <row r="71" spans="1:39" x14ac:dyDescent="0.25">
      <c r="A71"/>
      <c r="B71" s="1"/>
      <c r="C71" s="1"/>
      <c r="D71" s="177"/>
      <c r="E71" s="17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K71"/>
      <c r="AL71"/>
      <c r="AM71"/>
    </row>
    <row r="72" spans="1:39" x14ac:dyDescent="0.25">
      <c r="A72"/>
      <c r="B72" s="1"/>
      <c r="C72" s="1"/>
      <c r="D72" s="177"/>
      <c r="E72" s="17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K72"/>
      <c r="AL72"/>
      <c r="AM72"/>
    </row>
    <row r="73" spans="1:39" x14ac:dyDescent="0.25">
      <c r="A73"/>
      <c r="B73" s="1"/>
      <c r="C73" s="1"/>
      <c r="D73" s="177"/>
      <c r="E73" s="17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K73"/>
      <c r="AL73"/>
      <c r="AM73"/>
    </row>
    <row r="74" spans="1:39" x14ac:dyDescent="0.25">
      <c r="A74"/>
      <c r="B74" s="1"/>
      <c r="C74" s="1"/>
      <c r="D74" s="177"/>
      <c r="E74" s="17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K74"/>
      <c r="AL74"/>
      <c r="AM74"/>
    </row>
    <row r="75" spans="1:39" x14ac:dyDescent="0.25">
      <c r="A75"/>
      <c r="B75" s="1"/>
      <c r="C75" s="1"/>
      <c r="D75" s="177"/>
      <c r="E75" s="17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K75"/>
      <c r="AL75"/>
      <c r="AM75"/>
    </row>
    <row r="76" spans="1:39" x14ac:dyDescent="0.25">
      <c r="A76"/>
      <c r="B76" s="1"/>
      <c r="C76" s="1"/>
      <c r="D76" s="177"/>
      <c r="E76" s="17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K76"/>
      <c r="AL76"/>
      <c r="AM76"/>
    </row>
    <row r="77" spans="1:39" x14ac:dyDescent="0.25">
      <c r="A77"/>
      <c r="B77" s="1"/>
      <c r="C77" s="1"/>
      <c r="D77" s="177"/>
      <c r="E77" s="1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K77"/>
      <c r="AL77"/>
      <c r="AM77"/>
    </row>
    <row r="78" spans="1:39" x14ac:dyDescent="0.25">
      <c r="A78"/>
      <c r="B78" s="1"/>
      <c r="C78" s="1"/>
      <c r="D78" s="177"/>
      <c r="E78" s="17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K78"/>
      <c r="AL78"/>
      <c r="AM78"/>
    </row>
    <row r="79" spans="1:39" x14ac:dyDescent="0.25">
      <c r="A79"/>
      <c r="B79" s="1"/>
      <c r="C79" s="1"/>
      <c r="D79" s="177"/>
      <c r="E79" s="17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K79"/>
      <c r="AL79"/>
      <c r="AM79"/>
    </row>
    <row r="80" spans="1:39" x14ac:dyDescent="0.25">
      <c r="A80"/>
      <c r="B80" s="1"/>
      <c r="C80" s="1"/>
      <c r="D80" s="177"/>
      <c r="E80" s="17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K80"/>
      <c r="AL80"/>
      <c r="AM80"/>
    </row>
    <row r="81" spans="1:39" x14ac:dyDescent="0.25">
      <c r="A81"/>
      <c r="B81" s="1"/>
      <c r="C81" s="1"/>
      <c r="D81" s="177"/>
      <c r="E81" s="17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K81"/>
      <c r="AL81"/>
      <c r="AM81"/>
    </row>
    <row r="82" spans="1:39" x14ac:dyDescent="0.25">
      <c r="A82"/>
      <c r="B82" s="1"/>
      <c r="C82" s="1"/>
      <c r="D82" s="177"/>
      <c r="E82" s="17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K82"/>
      <c r="AL82"/>
      <c r="AM82"/>
    </row>
    <row r="83" spans="1:39" x14ac:dyDescent="0.25">
      <c r="A83"/>
      <c r="B83" s="1"/>
      <c r="C83" s="1"/>
      <c r="D83" s="177"/>
      <c r="E83" s="17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K83"/>
      <c r="AL83"/>
      <c r="AM83"/>
    </row>
    <row r="84" spans="1:39" x14ac:dyDescent="0.25">
      <c r="A84"/>
      <c r="B84" s="1"/>
      <c r="C84" s="1"/>
      <c r="D84" s="177"/>
      <c r="E84" s="17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K84"/>
      <c r="AL84"/>
      <c r="AM84"/>
    </row>
    <row r="85" spans="1:39" x14ac:dyDescent="0.25">
      <c r="A85"/>
      <c r="B85" s="1"/>
      <c r="C85" s="1"/>
      <c r="D85" s="177"/>
      <c r="E85" s="17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K85"/>
      <c r="AL85"/>
      <c r="AM85"/>
    </row>
    <row r="86" spans="1:39" x14ac:dyDescent="0.25">
      <c r="A86"/>
      <c r="B86" s="1"/>
      <c r="C86" s="1"/>
      <c r="D86" s="177"/>
      <c r="E86" s="17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K86"/>
      <c r="AL86"/>
      <c r="AM86"/>
    </row>
    <row r="87" spans="1:39" x14ac:dyDescent="0.25">
      <c r="A87"/>
      <c r="B87" s="1"/>
      <c r="C87" s="1"/>
      <c r="D87" s="177"/>
      <c r="E87" s="17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K87"/>
      <c r="AL87"/>
      <c r="AM87"/>
    </row>
    <row r="88" spans="1:39" x14ac:dyDescent="0.25">
      <c r="A88"/>
      <c r="B88" s="1"/>
      <c r="C88" s="1"/>
      <c r="D88" s="177"/>
      <c r="E88" s="17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K88"/>
      <c r="AL88"/>
      <c r="AM88"/>
    </row>
    <row r="89" spans="1:39" x14ac:dyDescent="0.25">
      <c r="A89"/>
      <c r="B89" s="1"/>
      <c r="C89" s="1"/>
      <c r="D89" s="177"/>
      <c r="E89" s="17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K89"/>
      <c r="AL89"/>
      <c r="AM89"/>
    </row>
    <row r="90" spans="1:39" x14ac:dyDescent="0.25">
      <c r="A90"/>
      <c r="B90" s="1"/>
      <c r="C90" s="1"/>
      <c r="D90" s="177"/>
      <c r="E90" s="17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K90"/>
      <c r="AL90"/>
      <c r="AM90"/>
    </row>
    <row r="91" spans="1:39" x14ac:dyDescent="0.25">
      <c r="A91"/>
      <c r="B91" s="1"/>
      <c r="C91" s="1"/>
      <c r="D91" s="177"/>
      <c r="E91" s="177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K91"/>
      <c r="AL91"/>
      <c r="AM91"/>
    </row>
    <row r="92" spans="1:39" x14ac:dyDescent="0.25">
      <c r="A92"/>
      <c r="B92" s="1"/>
      <c r="C92" s="1"/>
      <c r="D92" s="177"/>
      <c r="E92" s="17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K92"/>
      <c r="AL92"/>
      <c r="AM92"/>
    </row>
    <row r="93" spans="1:39" x14ac:dyDescent="0.25">
      <c r="A93"/>
      <c r="B93" s="1"/>
      <c r="C93" s="1"/>
      <c r="D93" s="177"/>
      <c r="E93" s="17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K93"/>
      <c r="AL93"/>
      <c r="AM93"/>
    </row>
    <row r="94" spans="1:39" x14ac:dyDescent="0.25">
      <c r="A94"/>
      <c r="B94" s="1"/>
      <c r="C94" s="1"/>
      <c r="D94" s="177"/>
      <c r="E94" s="17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K94"/>
      <c r="AL94"/>
      <c r="AM94"/>
    </row>
    <row r="95" spans="1:39" x14ac:dyDescent="0.25">
      <c r="A95"/>
      <c r="B95" s="1"/>
      <c r="C95" s="1"/>
      <c r="D95" s="177"/>
      <c r="E95" s="17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K95"/>
      <c r="AL95"/>
      <c r="AM95"/>
    </row>
    <row r="96" spans="1:39" x14ac:dyDescent="0.25">
      <c r="A96"/>
      <c r="B96" s="1"/>
      <c r="C96" s="1"/>
      <c r="D96" s="177"/>
      <c r="E96" s="17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K96"/>
      <c r="AL96"/>
      <c r="AM96"/>
    </row>
    <row r="97" spans="1:39" x14ac:dyDescent="0.25">
      <c r="A97"/>
      <c r="B97" s="1"/>
      <c r="C97" s="1"/>
      <c r="D97" s="177"/>
      <c r="E97" s="17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K97"/>
      <c r="AL97"/>
      <c r="AM97"/>
    </row>
    <row r="98" spans="1:39" x14ac:dyDescent="0.25">
      <c r="A98"/>
      <c r="B98" s="1"/>
      <c r="C98" s="1"/>
      <c r="D98" s="177"/>
      <c r="E98" s="17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K98"/>
      <c r="AL98"/>
      <c r="AM98"/>
    </row>
    <row r="99" spans="1:39" x14ac:dyDescent="0.25">
      <c r="A99"/>
      <c r="B99" s="1"/>
      <c r="C99" s="1"/>
      <c r="D99" s="177"/>
      <c r="E99" s="17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K99"/>
      <c r="AL99"/>
      <c r="AM99"/>
    </row>
    <row r="100" spans="1:39" x14ac:dyDescent="0.25">
      <c r="A100"/>
      <c r="B100" s="1"/>
      <c r="C100" s="1"/>
      <c r="D100" s="177"/>
      <c r="E100" s="17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K100"/>
      <c r="AL100"/>
      <c r="AM100"/>
    </row>
    <row r="101" spans="1:39" x14ac:dyDescent="0.25">
      <c r="A101"/>
      <c r="B101" s="1"/>
      <c r="C101" s="1"/>
      <c r="D101" s="177"/>
      <c r="E101" s="17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K101"/>
      <c r="AL101"/>
      <c r="AM101"/>
    </row>
    <row r="102" spans="1:39" x14ac:dyDescent="0.25">
      <c r="A102"/>
      <c r="B102" s="1"/>
      <c r="C102" s="1"/>
      <c r="D102" s="177"/>
      <c r="E102" s="17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K102"/>
      <c r="AL102"/>
      <c r="AM102"/>
    </row>
    <row r="103" spans="1:39" x14ac:dyDescent="0.25">
      <c r="A103"/>
      <c r="B103" s="1"/>
      <c r="C103" s="1"/>
      <c r="D103" s="177"/>
      <c r="E103" s="177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K103"/>
      <c r="AL103"/>
      <c r="AM103"/>
    </row>
    <row r="104" spans="1:39" x14ac:dyDescent="0.25">
      <c r="A104"/>
      <c r="B104" s="1"/>
      <c r="C104" s="1"/>
      <c r="D104" s="177"/>
      <c r="E104" s="17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K104"/>
      <c r="AL104"/>
      <c r="AM104"/>
    </row>
    <row r="105" spans="1:39" x14ac:dyDescent="0.25">
      <c r="A105"/>
      <c r="B105" s="1"/>
      <c r="C105" s="1"/>
      <c r="D105" s="177"/>
      <c r="E105" s="17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K105"/>
      <c r="AL105"/>
      <c r="AM105"/>
    </row>
    <row r="106" spans="1:39" x14ac:dyDescent="0.25">
      <c r="A106"/>
      <c r="B106" s="1"/>
      <c r="C106" s="1"/>
      <c r="D106" s="177"/>
      <c r="E106" s="17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K106"/>
      <c r="AL106"/>
      <c r="AM106"/>
    </row>
    <row r="107" spans="1:39" x14ac:dyDescent="0.25">
      <c r="A107"/>
      <c r="B107" s="1"/>
      <c r="C107" s="1"/>
      <c r="D107" s="177"/>
      <c r="E107" s="17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K107"/>
      <c r="AL107"/>
      <c r="AM107"/>
    </row>
    <row r="108" spans="1:39" x14ac:dyDescent="0.25">
      <c r="A108"/>
      <c r="B108" s="1"/>
      <c r="C108" s="1"/>
      <c r="D108" s="177"/>
      <c r="E108" s="17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K108"/>
      <c r="AL108"/>
      <c r="AM108"/>
    </row>
    <row r="109" spans="1:39" x14ac:dyDescent="0.25">
      <c r="A109"/>
      <c r="B109" s="1"/>
      <c r="C109" s="1"/>
      <c r="D109" s="177"/>
      <c r="E109" s="17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K109"/>
      <c r="AL109"/>
      <c r="AM109"/>
    </row>
    <row r="110" spans="1:39" x14ac:dyDescent="0.25">
      <c r="A110"/>
      <c r="B110" s="1"/>
      <c r="C110" s="1"/>
      <c r="D110" s="177"/>
      <c r="E110" s="177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K110"/>
      <c r="AL110"/>
      <c r="AM110"/>
    </row>
    <row r="111" spans="1:39" x14ac:dyDescent="0.25">
      <c r="A111"/>
      <c r="B111" s="1"/>
      <c r="C111" s="1"/>
      <c r="D111" s="177"/>
      <c r="E111" s="17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K111"/>
      <c r="AL111"/>
      <c r="AM111"/>
    </row>
    <row r="112" spans="1:39" x14ac:dyDescent="0.25">
      <c r="A112"/>
      <c r="B112" s="1"/>
      <c r="C112" s="1"/>
      <c r="D112" s="177"/>
      <c r="E112" s="17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K112"/>
      <c r="AL112"/>
      <c r="AM112"/>
    </row>
    <row r="113" spans="1:39" x14ac:dyDescent="0.25">
      <c r="A113"/>
      <c r="B113" s="1"/>
      <c r="C113" s="1"/>
      <c r="D113" s="177"/>
      <c r="E113" s="17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K113"/>
      <c r="AL113"/>
      <c r="AM113"/>
    </row>
    <row r="114" spans="1:39" x14ac:dyDescent="0.25">
      <c r="A114"/>
      <c r="B114" s="1"/>
      <c r="C114" s="1"/>
      <c r="D114" s="177"/>
      <c r="E114" s="17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K114"/>
      <c r="AL114"/>
      <c r="AM114"/>
    </row>
    <row r="115" spans="1:39" x14ac:dyDescent="0.25">
      <c r="A115"/>
      <c r="B115" s="1"/>
      <c r="C115" s="1"/>
      <c r="D115" s="177"/>
      <c r="E115" s="17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K115"/>
      <c r="AL115"/>
      <c r="AM115"/>
    </row>
    <row r="116" spans="1:39" x14ac:dyDescent="0.25">
      <c r="A116"/>
      <c r="B116" s="1"/>
      <c r="C116" s="1"/>
      <c r="D116" s="177"/>
      <c r="E116" s="17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K116"/>
      <c r="AL116"/>
      <c r="AM116"/>
    </row>
    <row r="117" spans="1:39" x14ac:dyDescent="0.25">
      <c r="A117"/>
      <c r="B117" s="1"/>
      <c r="C117" s="1"/>
      <c r="D117" s="177"/>
      <c r="E117" s="17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K117"/>
      <c r="AL117"/>
      <c r="AM117"/>
    </row>
    <row r="118" spans="1:39" x14ac:dyDescent="0.25">
      <c r="A118"/>
      <c r="B118" s="1"/>
      <c r="C118" s="1"/>
      <c r="D118" s="177"/>
      <c r="E118" s="17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K118"/>
      <c r="AL118"/>
      <c r="AM118"/>
    </row>
    <row r="119" spans="1:39" x14ac:dyDescent="0.25">
      <c r="A119"/>
      <c r="B119" s="1"/>
      <c r="C119" s="1"/>
      <c r="D119" s="177"/>
      <c r="E119" s="17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K119"/>
      <c r="AL119"/>
      <c r="AM119"/>
    </row>
    <row r="120" spans="1:39" x14ac:dyDescent="0.25">
      <c r="A120"/>
      <c r="B120" s="1"/>
      <c r="C120" s="1"/>
      <c r="D120" s="177"/>
      <c r="E120" s="17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K120"/>
      <c r="AL120"/>
      <c r="AM120"/>
    </row>
    <row r="121" spans="1:39" x14ac:dyDescent="0.25">
      <c r="A121"/>
      <c r="B121" s="1"/>
      <c r="C121" s="1"/>
      <c r="D121" s="177"/>
      <c r="E121" s="17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K121"/>
      <c r="AL121"/>
      <c r="AM121"/>
    </row>
    <row r="122" spans="1:39" x14ac:dyDescent="0.25">
      <c r="A122"/>
      <c r="B122" s="1"/>
      <c r="C122" s="1"/>
      <c r="D122" s="177"/>
      <c r="E122" s="17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K122"/>
      <c r="AL122"/>
      <c r="AM122"/>
    </row>
    <row r="123" spans="1:39" x14ac:dyDescent="0.25">
      <c r="A123"/>
      <c r="B123" s="1"/>
      <c r="C123" s="1"/>
      <c r="D123" s="177"/>
      <c r="E123" s="177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K123"/>
      <c r="AL123"/>
      <c r="AM123"/>
    </row>
    <row r="124" spans="1:39" x14ac:dyDescent="0.25">
      <c r="A124"/>
      <c r="B124" s="1"/>
      <c r="C124" s="1"/>
      <c r="D124" s="177"/>
      <c r="E124" s="17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K124"/>
      <c r="AL124"/>
      <c r="AM124"/>
    </row>
    <row r="125" spans="1:39" x14ac:dyDescent="0.25">
      <c r="A125"/>
      <c r="B125" s="1"/>
      <c r="C125" s="1"/>
      <c r="D125" s="177"/>
      <c r="E125" s="17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K125"/>
      <c r="AL125"/>
      <c r="AM125"/>
    </row>
    <row r="126" spans="1:39" x14ac:dyDescent="0.25">
      <c r="A126"/>
      <c r="B126" s="1"/>
      <c r="C126" s="1"/>
      <c r="D126" s="177"/>
      <c r="E126" s="17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K126"/>
      <c r="AL126"/>
      <c r="AM126"/>
    </row>
    <row r="127" spans="1:39" x14ac:dyDescent="0.25">
      <c r="A127"/>
      <c r="B127" s="1"/>
      <c r="C127" s="1"/>
      <c r="D127" s="177"/>
      <c r="E127" s="17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K127"/>
      <c r="AL127"/>
      <c r="AM127"/>
    </row>
    <row r="128" spans="1:39" x14ac:dyDescent="0.25">
      <c r="A128"/>
      <c r="B128" s="1"/>
      <c r="C128" s="1"/>
      <c r="D128" s="177"/>
      <c r="E128" s="17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K128"/>
      <c r="AL128"/>
      <c r="AM128"/>
    </row>
    <row r="129" spans="1:39" x14ac:dyDescent="0.25">
      <c r="A129"/>
      <c r="B129" s="1"/>
      <c r="C129" s="1"/>
      <c r="D129" s="177"/>
      <c r="E129" s="177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K129"/>
      <c r="AL129"/>
      <c r="AM129"/>
    </row>
    <row r="130" spans="1:39" x14ac:dyDescent="0.25">
      <c r="A130"/>
      <c r="B130" s="1"/>
      <c r="C130" s="1"/>
      <c r="D130" s="177"/>
      <c r="E130" s="17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K130"/>
      <c r="AL130"/>
      <c r="AM130"/>
    </row>
    <row r="131" spans="1:39" x14ac:dyDescent="0.25">
      <c r="A131"/>
      <c r="B131" s="1"/>
      <c r="C131" s="1"/>
      <c r="D131" s="177"/>
      <c r="E131" s="17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K131"/>
      <c r="AL131"/>
      <c r="AM131"/>
    </row>
    <row r="132" spans="1:39" x14ac:dyDescent="0.25">
      <c r="A132"/>
      <c r="B132" s="1"/>
      <c r="C132" s="1"/>
      <c r="D132" s="177"/>
      <c r="E132" s="17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K132"/>
      <c r="AL132"/>
      <c r="AM132"/>
    </row>
    <row r="133" spans="1:39" x14ac:dyDescent="0.25">
      <c r="A133"/>
      <c r="B133" s="1"/>
      <c r="C133" s="1"/>
      <c r="D133" s="177"/>
      <c r="E133" s="17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K133"/>
      <c r="AL133"/>
      <c r="AM133"/>
    </row>
    <row r="134" spans="1:39" x14ac:dyDescent="0.25">
      <c r="A134"/>
      <c r="B134" s="1"/>
      <c r="C134" s="1"/>
      <c r="D134" s="177"/>
      <c r="E134" s="17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K134"/>
      <c r="AL134"/>
      <c r="AM134"/>
    </row>
    <row r="135" spans="1:39" x14ac:dyDescent="0.25">
      <c r="A135"/>
      <c r="B135" s="1"/>
      <c r="C135" s="1"/>
      <c r="D135" s="177"/>
      <c r="E135" s="17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K135"/>
      <c r="AL135"/>
      <c r="AM135"/>
    </row>
    <row r="136" spans="1:39" x14ac:dyDescent="0.25">
      <c r="A136"/>
      <c r="B136" s="1"/>
      <c r="C136" s="1"/>
      <c r="D136" s="177"/>
      <c r="E136" s="177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K136"/>
      <c r="AL136"/>
      <c r="AM136"/>
    </row>
    <row r="137" spans="1:39" x14ac:dyDescent="0.25">
      <c r="A137"/>
      <c r="B137" s="1"/>
      <c r="C137" s="1"/>
      <c r="D137" s="177"/>
      <c r="E137" s="17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K137"/>
      <c r="AL137"/>
      <c r="AM137"/>
    </row>
    <row r="138" spans="1:39" x14ac:dyDescent="0.25">
      <c r="A138"/>
      <c r="B138" s="1"/>
      <c r="C138" s="1"/>
      <c r="D138" s="177"/>
      <c r="E138" s="17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K138"/>
      <c r="AL138"/>
      <c r="AM138"/>
    </row>
    <row r="139" spans="1:39" x14ac:dyDescent="0.25">
      <c r="A139"/>
      <c r="B139" s="1"/>
      <c r="C139" s="1"/>
      <c r="D139" s="177"/>
      <c r="E139" s="17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K139"/>
      <c r="AL139"/>
      <c r="AM139"/>
    </row>
    <row r="140" spans="1:39" x14ac:dyDescent="0.25">
      <c r="A140"/>
      <c r="B140" s="1"/>
      <c r="C140" s="1"/>
      <c r="D140" s="177"/>
      <c r="E140" s="17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K140"/>
      <c r="AL140"/>
      <c r="AM140"/>
    </row>
    <row r="141" spans="1:39" x14ac:dyDescent="0.25">
      <c r="A141"/>
      <c r="B141" s="1"/>
      <c r="C141" s="1"/>
      <c r="D141" s="177"/>
      <c r="E141" s="17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K141"/>
      <c r="AL141"/>
      <c r="AM141"/>
    </row>
    <row r="142" spans="1:39" x14ac:dyDescent="0.25">
      <c r="A142"/>
      <c r="B142" s="1"/>
      <c r="C142" s="1"/>
      <c r="D142" s="177"/>
      <c r="E142" s="17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K142"/>
      <c r="AL142"/>
      <c r="AM142"/>
    </row>
    <row r="143" spans="1:39" x14ac:dyDescent="0.25">
      <c r="A143"/>
      <c r="B143" s="1"/>
      <c r="C143" s="1"/>
      <c r="D143" s="177"/>
      <c r="E143" s="177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K143"/>
      <c r="AL143"/>
      <c r="AM143"/>
    </row>
    <row r="144" spans="1:39" x14ac:dyDescent="0.25">
      <c r="A144"/>
      <c r="B144" s="1"/>
      <c r="C144" s="1"/>
      <c r="D144" s="177"/>
      <c r="E144" s="177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K144"/>
      <c r="AL144"/>
      <c r="AM144"/>
    </row>
    <row r="145" spans="1:39" x14ac:dyDescent="0.25">
      <c r="A145"/>
      <c r="B145" s="1"/>
      <c r="C145" s="1"/>
      <c r="D145" s="177"/>
      <c r="E145" s="177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K145"/>
      <c r="AL145"/>
      <c r="AM145"/>
    </row>
    <row r="146" spans="1:39" x14ac:dyDescent="0.25">
      <c r="A146"/>
      <c r="B146" s="1"/>
      <c r="C146" s="1"/>
      <c r="D146" s="177"/>
      <c r="E146" s="177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K146"/>
      <c r="AL146"/>
      <c r="AM146"/>
    </row>
    <row r="147" spans="1:39" x14ac:dyDescent="0.25">
      <c r="A147"/>
      <c r="B147" s="1"/>
      <c r="C147" s="1"/>
      <c r="D147" s="177"/>
      <c r="E147" s="17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K147"/>
      <c r="AL147"/>
      <c r="AM147"/>
    </row>
    <row r="148" spans="1:39" x14ac:dyDescent="0.25">
      <c r="A148"/>
      <c r="B148" s="1"/>
      <c r="C148" s="1"/>
      <c r="D148" s="177"/>
      <c r="E148" s="177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K148"/>
      <c r="AL148"/>
      <c r="AM148"/>
    </row>
    <row r="149" spans="1:39" x14ac:dyDescent="0.25">
      <c r="A149"/>
      <c r="B149" s="1"/>
      <c r="C149" s="1"/>
      <c r="D149" s="177"/>
      <c r="E149" s="177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K149"/>
      <c r="AL149"/>
      <c r="AM149"/>
    </row>
    <row r="150" spans="1:39" x14ac:dyDescent="0.25">
      <c r="A150"/>
      <c r="B150" s="1"/>
      <c r="C150" s="1"/>
      <c r="D150" s="177"/>
      <c r="E150" s="177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K150"/>
      <c r="AL150"/>
      <c r="AM150"/>
    </row>
    <row r="151" spans="1:39" x14ac:dyDescent="0.25">
      <c r="A151"/>
      <c r="B151" s="1"/>
      <c r="C151" s="1"/>
      <c r="D151" s="177"/>
      <c r="E151" s="177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K151"/>
      <c r="AL151"/>
      <c r="AM151"/>
    </row>
    <row r="152" spans="1:39" x14ac:dyDescent="0.25">
      <c r="A152"/>
      <c r="B152" s="1"/>
      <c r="C152" s="1"/>
      <c r="D152" s="177"/>
      <c r="E152" s="177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K152"/>
      <c r="AL152"/>
      <c r="AM152"/>
    </row>
    <row r="153" spans="1:39" x14ac:dyDescent="0.25">
      <c r="A153"/>
      <c r="B153" s="1"/>
      <c r="C153" s="1"/>
      <c r="D153" s="177"/>
      <c r="E153" s="177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K153"/>
      <c r="AL153"/>
      <c r="AM153"/>
    </row>
    <row r="154" spans="1:39" x14ac:dyDescent="0.25">
      <c r="A154"/>
      <c r="B154" s="1"/>
      <c r="C154" s="1"/>
      <c r="D154" s="177"/>
      <c r="E154" s="177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K154"/>
      <c r="AL154"/>
      <c r="AM154"/>
    </row>
    <row r="155" spans="1:39" x14ac:dyDescent="0.25">
      <c r="A155"/>
      <c r="B155" s="1"/>
      <c r="C155" s="1"/>
      <c r="D155" s="177"/>
      <c r="E155" s="177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K155"/>
      <c r="AL155"/>
      <c r="AM155"/>
    </row>
    <row r="156" spans="1:39" x14ac:dyDescent="0.25">
      <c r="A156"/>
      <c r="B156" s="1"/>
      <c r="C156" s="1"/>
      <c r="D156" s="177"/>
      <c r="E156" s="177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K156"/>
      <c r="AL156"/>
      <c r="AM156"/>
    </row>
    <row r="157" spans="1:39" x14ac:dyDescent="0.25">
      <c r="A157"/>
      <c r="B157" s="1"/>
      <c r="C157" s="1"/>
      <c r="D157" s="177"/>
      <c r="E157" s="17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K157"/>
      <c r="AL157"/>
      <c r="AM157"/>
    </row>
    <row r="158" spans="1:39" x14ac:dyDescent="0.25">
      <c r="A158"/>
      <c r="B158" s="1"/>
      <c r="C158" s="1"/>
      <c r="D158" s="177"/>
      <c r="E158" s="177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K158"/>
      <c r="AL158"/>
      <c r="AM158"/>
    </row>
    <row r="159" spans="1:39" x14ac:dyDescent="0.25">
      <c r="A159"/>
      <c r="B159" s="1"/>
      <c r="C159" s="1"/>
      <c r="D159" s="177"/>
      <c r="E159" s="177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K159"/>
      <c r="AL159"/>
      <c r="AM159"/>
    </row>
    <row r="160" spans="1:39" x14ac:dyDescent="0.25">
      <c r="A160"/>
      <c r="B160" s="1"/>
      <c r="C160" s="1"/>
      <c r="D160" s="177"/>
      <c r="E160" s="177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K160"/>
      <c r="AL160"/>
      <c r="AM160"/>
    </row>
    <row r="161" spans="1:39" x14ac:dyDescent="0.25">
      <c r="A161"/>
      <c r="B161" s="1"/>
      <c r="C161" s="1"/>
      <c r="D161" s="177"/>
      <c r="E161" s="177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K161"/>
      <c r="AL161"/>
      <c r="AM161"/>
    </row>
    <row r="162" spans="1:39" x14ac:dyDescent="0.25">
      <c r="A162"/>
      <c r="B162" s="1"/>
      <c r="C162" s="1"/>
      <c r="D162" s="177"/>
      <c r="E162" s="177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K162"/>
      <c r="AL162"/>
      <c r="AM162"/>
    </row>
    <row r="163" spans="1:39" x14ac:dyDescent="0.25">
      <c r="A163"/>
      <c r="B163" s="1"/>
      <c r="C163" s="1"/>
      <c r="D163" s="177"/>
      <c r="E163" s="177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K163"/>
      <c r="AL163"/>
      <c r="AM163"/>
    </row>
    <row r="164" spans="1:39" x14ac:dyDescent="0.25">
      <c r="A164"/>
      <c r="B164" s="1"/>
      <c r="C164" s="1"/>
      <c r="D164" s="177"/>
      <c r="E164" s="177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K164"/>
      <c r="AL164"/>
      <c r="AM164"/>
    </row>
    <row r="165" spans="1:39" x14ac:dyDescent="0.25">
      <c r="A165"/>
      <c r="B165" s="1"/>
      <c r="C165" s="1"/>
      <c r="D165" s="177"/>
      <c r="E165" s="177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K165"/>
      <c r="AL165"/>
      <c r="AM165"/>
    </row>
    <row r="166" spans="1:39" x14ac:dyDescent="0.25">
      <c r="A166"/>
      <c r="B166" s="1"/>
      <c r="C166" s="1"/>
      <c r="D166" s="177"/>
      <c r="E166" s="177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K166"/>
      <c r="AL166"/>
      <c r="AM166"/>
    </row>
    <row r="167" spans="1:39" x14ac:dyDescent="0.25">
      <c r="A167"/>
      <c r="B167" s="1"/>
      <c r="C167" s="1"/>
      <c r="D167" s="177"/>
      <c r="E167" s="17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K167"/>
      <c r="AL167"/>
      <c r="AM167"/>
    </row>
    <row r="168" spans="1:39" x14ac:dyDescent="0.25">
      <c r="A168"/>
      <c r="B168" s="1"/>
      <c r="C168" s="1"/>
      <c r="D168" s="177"/>
      <c r="E168" s="177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K168"/>
      <c r="AL168"/>
      <c r="AM168"/>
    </row>
    <row r="169" spans="1:39" x14ac:dyDescent="0.25">
      <c r="A169"/>
      <c r="B169" s="1"/>
      <c r="C169" s="1"/>
      <c r="D169" s="177"/>
      <c r="E169" s="177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K169"/>
      <c r="AL169"/>
      <c r="AM169"/>
    </row>
    <row r="170" spans="1:39" x14ac:dyDescent="0.25">
      <c r="A170"/>
      <c r="B170" s="1"/>
      <c r="C170" s="1"/>
      <c r="D170" s="177"/>
      <c r="E170" s="177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K170"/>
      <c r="AL170"/>
      <c r="AM170"/>
    </row>
    <row r="171" spans="1:39" x14ac:dyDescent="0.25">
      <c r="A171"/>
      <c r="B171" s="1"/>
      <c r="C171" s="1"/>
      <c r="D171" s="177"/>
      <c r="E171" s="177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K171"/>
      <c r="AL171"/>
      <c r="AM171"/>
    </row>
    <row r="172" spans="1:39" x14ac:dyDescent="0.25">
      <c r="A172"/>
      <c r="B172" s="1"/>
      <c r="C172" s="1"/>
      <c r="D172" s="177"/>
      <c r="E172" s="177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K172"/>
      <c r="AL172"/>
      <c r="AM172"/>
    </row>
    <row r="173" spans="1:39" x14ac:dyDescent="0.25">
      <c r="A173"/>
      <c r="B173" s="1"/>
      <c r="C173" s="1"/>
      <c r="D173" s="177"/>
      <c r="E173" s="177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K173"/>
      <c r="AL173"/>
      <c r="AM173"/>
    </row>
    <row r="174" spans="1:39" x14ac:dyDescent="0.25">
      <c r="A174"/>
      <c r="B174" s="1"/>
      <c r="C174" s="1"/>
      <c r="D174" s="177"/>
      <c r="E174" s="177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K174"/>
      <c r="AL174"/>
      <c r="AM174"/>
    </row>
    <row r="175" spans="1:39" x14ac:dyDescent="0.25">
      <c r="A175"/>
      <c r="B175" s="1"/>
      <c r="C175" s="1"/>
      <c r="D175" s="177"/>
      <c r="E175" s="177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K175"/>
      <c r="AL175"/>
      <c r="AM175"/>
    </row>
    <row r="176" spans="1:39" x14ac:dyDescent="0.25">
      <c r="A176"/>
      <c r="B176" s="1"/>
      <c r="C176" s="1"/>
      <c r="D176" s="177"/>
      <c r="E176" s="177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K176"/>
      <c r="AL176"/>
      <c r="AM176"/>
    </row>
    <row r="177" spans="1:39" x14ac:dyDescent="0.25">
      <c r="A177"/>
      <c r="B177" s="1"/>
      <c r="C177" s="1"/>
      <c r="D177" s="177"/>
      <c r="E177" s="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K177"/>
      <c r="AL177"/>
      <c r="AM177"/>
    </row>
    <row r="178" spans="1:39" x14ac:dyDescent="0.25">
      <c r="A178"/>
      <c r="B178" s="1"/>
      <c r="C178" s="1"/>
      <c r="D178" s="177"/>
      <c r="E178" s="177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K178"/>
      <c r="AL178"/>
      <c r="AM178"/>
    </row>
    <row r="179" spans="1:39" x14ac:dyDescent="0.25">
      <c r="A179"/>
      <c r="B179" s="1"/>
      <c r="C179" s="1"/>
      <c r="D179" s="177"/>
      <c r="E179" s="177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K179"/>
      <c r="AL179"/>
      <c r="AM179"/>
    </row>
    <row r="180" spans="1:39" x14ac:dyDescent="0.25">
      <c r="A180"/>
      <c r="B180" s="1"/>
      <c r="C180" s="1"/>
      <c r="D180" s="177"/>
      <c r="E180" s="177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K180"/>
      <c r="AL180"/>
      <c r="AM180"/>
    </row>
    <row r="181" spans="1:39" x14ac:dyDescent="0.25">
      <c r="A181"/>
      <c r="B181" s="1"/>
      <c r="C181" s="1"/>
      <c r="D181" s="177"/>
      <c r="E181" s="177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K181"/>
      <c r="AL181"/>
      <c r="AM181"/>
    </row>
    <row r="182" spans="1:39" x14ac:dyDescent="0.25">
      <c r="A182"/>
      <c r="B182" s="1"/>
      <c r="C182" s="1"/>
      <c r="D182" s="177"/>
      <c r="E182" s="177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K182"/>
      <c r="AL182"/>
      <c r="AM182"/>
    </row>
    <row r="183" spans="1:39" x14ac:dyDescent="0.25">
      <c r="A183"/>
      <c r="B183" s="1"/>
      <c r="C183" s="1"/>
      <c r="D183" s="177"/>
      <c r="E183" s="177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K183"/>
      <c r="AL183"/>
      <c r="AM183"/>
    </row>
    <row r="184" spans="1:39" x14ac:dyDescent="0.25">
      <c r="A184"/>
      <c r="B184" s="1"/>
      <c r="C184" s="1"/>
      <c r="D184" s="177"/>
      <c r="E184" s="177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K184"/>
      <c r="AL184"/>
      <c r="AM184"/>
    </row>
    <row r="185" spans="1:39" x14ac:dyDescent="0.25">
      <c r="A185"/>
      <c r="B185" s="1"/>
      <c r="C185" s="1"/>
      <c r="D185" s="177"/>
      <c r="E185" s="177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K185"/>
      <c r="AL185"/>
      <c r="AM185"/>
    </row>
    <row r="186" spans="1:39" x14ac:dyDescent="0.25">
      <c r="A186"/>
      <c r="B186" s="1"/>
      <c r="C186" s="1"/>
      <c r="D186" s="177"/>
      <c r="E186" s="177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K186"/>
      <c r="AL186"/>
      <c r="AM186"/>
    </row>
    <row r="187" spans="1:39" x14ac:dyDescent="0.25">
      <c r="A187"/>
      <c r="B187" s="1"/>
      <c r="C187" s="1"/>
      <c r="D187" s="177"/>
      <c r="E187" s="17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K187"/>
      <c r="AL187"/>
      <c r="AM187"/>
    </row>
    <row r="188" spans="1:39" x14ac:dyDescent="0.25">
      <c r="A188"/>
      <c r="B188" s="1"/>
      <c r="C188" s="1"/>
      <c r="D188" s="177"/>
      <c r="E188" s="177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K188"/>
      <c r="AL188"/>
      <c r="AM188"/>
    </row>
    <row r="189" spans="1:39" x14ac:dyDescent="0.25">
      <c r="A189"/>
      <c r="B189" s="1"/>
      <c r="C189" s="1"/>
      <c r="D189" s="177"/>
      <c r="E189" s="177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K189"/>
      <c r="AL189"/>
      <c r="AM189"/>
    </row>
    <row r="190" spans="1:39" x14ac:dyDescent="0.25">
      <c r="A190"/>
      <c r="B190" s="1"/>
      <c r="C190" s="1"/>
      <c r="D190" s="177"/>
      <c r="E190" s="177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K190"/>
      <c r="AL190"/>
      <c r="AM190"/>
    </row>
    <row r="191" spans="1:39" x14ac:dyDescent="0.25">
      <c r="A191"/>
      <c r="B191" s="1"/>
      <c r="C191" s="1"/>
      <c r="D191" s="177"/>
      <c r="E191" s="177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K191"/>
      <c r="AL191"/>
      <c r="AM191"/>
    </row>
    <row r="192" spans="1:39" x14ac:dyDescent="0.25">
      <c r="A192"/>
      <c r="B192" s="1"/>
      <c r="C192" s="1"/>
      <c r="D192" s="177"/>
      <c r="E192" s="177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K192"/>
      <c r="AL192"/>
      <c r="AM192"/>
    </row>
    <row r="193" spans="1:39" x14ac:dyDescent="0.25">
      <c r="A193"/>
      <c r="B193" s="1"/>
      <c r="C193" s="1"/>
      <c r="D193" s="177"/>
      <c r="E193" s="177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K193"/>
      <c r="AL193"/>
      <c r="AM193"/>
    </row>
    <row r="194" spans="1:39" x14ac:dyDescent="0.25">
      <c r="A194"/>
      <c r="B194" s="1"/>
      <c r="C194" s="1"/>
      <c r="D194" s="177"/>
      <c r="E194" s="177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K194"/>
      <c r="AL194"/>
      <c r="AM194"/>
    </row>
    <row r="195" spans="1:39" x14ac:dyDescent="0.25">
      <c r="A195"/>
      <c r="B195" s="1"/>
      <c r="C195" s="1"/>
      <c r="D195" s="177"/>
      <c r="E195" s="177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K195"/>
      <c r="AL195"/>
      <c r="AM195"/>
    </row>
    <row r="196" spans="1:39" x14ac:dyDescent="0.25">
      <c r="A196"/>
      <c r="B196" s="1"/>
      <c r="C196" s="1"/>
      <c r="D196" s="177"/>
      <c r="E196" s="177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K196"/>
      <c r="AL196"/>
      <c r="AM196"/>
    </row>
    <row r="197" spans="1:39" x14ac:dyDescent="0.25">
      <c r="A197"/>
      <c r="B197" s="1"/>
      <c r="C197" s="1"/>
      <c r="D197" s="177"/>
      <c r="E197" s="17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K197"/>
      <c r="AL197"/>
      <c r="AM197"/>
    </row>
    <row r="198" spans="1:39" x14ac:dyDescent="0.25">
      <c r="A198"/>
      <c r="B198" s="1"/>
      <c r="C198" s="1"/>
      <c r="D198" s="177"/>
      <c r="E198" s="177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K198"/>
      <c r="AL198"/>
      <c r="AM198"/>
    </row>
    <row r="199" spans="1:39" x14ac:dyDescent="0.25">
      <c r="A199"/>
      <c r="B199" s="1"/>
      <c r="C199" s="1"/>
      <c r="D199" s="177"/>
      <c r="E199" s="177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K199"/>
      <c r="AL199"/>
      <c r="AM199"/>
    </row>
    <row r="200" spans="1:39" x14ac:dyDescent="0.25">
      <c r="A200"/>
      <c r="B200" s="1"/>
      <c r="C200" s="1"/>
      <c r="D200" s="177"/>
      <c r="E200" s="177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K200"/>
      <c r="AL200"/>
      <c r="AM200"/>
    </row>
    <row r="201" spans="1:39" x14ac:dyDescent="0.25">
      <c r="A201"/>
      <c r="B201" s="1"/>
      <c r="C201" s="1"/>
      <c r="D201" s="177"/>
      <c r="E201" s="177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K201"/>
      <c r="AL201"/>
      <c r="AM201"/>
    </row>
    <row r="202" spans="1:39" x14ac:dyDescent="0.25">
      <c r="A202"/>
      <c r="B202" s="1"/>
      <c r="C202" s="1"/>
      <c r="D202" s="177"/>
      <c r="E202" s="177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K202"/>
      <c r="AL202"/>
      <c r="AM202"/>
    </row>
    <row r="203" spans="1:39" x14ac:dyDescent="0.25">
      <c r="A203"/>
      <c r="B203" s="1"/>
      <c r="C203" s="1"/>
      <c r="D203" s="177"/>
      <c r="E203" s="177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K203"/>
      <c r="AL203"/>
      <c r="AM203"/>
    </row>
    <row r="204" spans="1:39" x14ac:dyDescent="0.25">
      <c r="A204"/>
      <c r="B204" s="1"/>
      <c r="C204" s="1"/>
      <c r="D204" s="177"/>
      <c r="E204" s="177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K204"/>
      <c r="AL204"/>
      <c r="AM204"/>
    </row>
    <row r="205" spans="1:39" x14ac:dyDescent="0.25">
      <c r="A205"/>
      <c r="B205" s="1"/>
      <c r="C205" s="1"/>
      <c r="D205" s="177"/>
      <c r="E205" s="177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K205"/>
      <c r="AL205"/>
      <c r="AM205"/>
    </row>
    <row r="206" spans="1:39" x14ac:dyDescent="0.25">
      <c r="A206"/>
      <c r="B206" s="1"/>
      <c r="C206" s="1"/>
      <c r="D206" s="177"/>
      <c r="E206" s="177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K206"/>
      <c r="AL206"/>
      <c r="AM206"/>
    </row>
    <row r="207" spans="1:39" x14ac:dyDescent="0.25">
      <c r="A207"/>
      <c r="B207" s="1"/>
      <c r="C207" s="1"/>
      <c r="D207" s="177"/>
      <c r="E207" s="17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K207"/>
      <c r="AL207"/>
      <c r="AM207"/>
    </row>
    <row r="208" spans="1:39" x14ac:dyDescent="0.25">
      <c r="A208"/>
      <c r="B208" s="1"/>
      <c r="C208" s="1"/>
      <c r="D208" s="177"/>
      <c r="E208" s="177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K208"/>
      <c r="AL208"/>
      <c r="AM208"/>
    </row>
    <row r="209" spans="1:39" x14ac:dyDescent="0.25">
      <c r="A209"/>
      <c r="B209" s="1"/>
      <c r="C209" s="1"/>
      <c r="D209" s="177"/>
      <c r="E209" s="177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K209"/>
      <c r="AL209"/>
      <c r="AM209"/>
    </row>
    <row r="210" spans="1:39" x14ac:dyDescent="0.25">
      <c r="A210"/>
      <c r="B210" s="1"/>
      <c r="C210" s="1"/>
      <c r="D210" s="177"/>
      <c r="E210" s="177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K210"/>
      <c r="AL210"/>
      <c r="AM210"/>
    </row>
    <row r="211" spans="1:39" x14ac:dyDescent="0.25">
      <c r="A211"/>
      <c r="B211" s="1"/>
      <c r="C211" s="1"/>
      <c r="D211" s="177"/>
      <c r="E211" s="177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K211"/>
      <c r="AL211"/>
      <c r="AM211"/>
    </row>
    <row r="212" spans="1:39" x14ac:dyDescent="0.25">
      <c r="A212"/>
      <c r="B212" s="1"/>
      <c r="C212" s="1"/>
      <c r="D212" s="177"/>
      <c r="E212" s="177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K212"/>
      <c r="AL212"/>
      <c r="AM212"/>
    </row>
    <row r="213" spans="1:39" x14ac:dyDescent="0.25">
      <c r="A213"/>
      <c r="B213" s="1"/>
      <c r="C213" s="1"/>
      <c r="D213" s="177"/>
      <c r="E213" s="177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K213"/>
      <c r="AL213"/>
      <c r="AM213"/>
    </row>
    <row r="214" spans="1:39" x14ac:dyDescent="0.25">
      <c r="A214"/>
      <c r="B214" s="1"/>
      <c r="C214" s="1"/>
      <c r="D214" s="177"/>
      <c r="E214" s="177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K214"/>
      <c r="AL214"/>
      <c r="AM214"/>
    </row>
    <row r="215" spans="1:39" x14ac:dyDescent="0.25">
      <c r="A215"/>
      <c r="B215" s="1"/>
      <c r="C215" s="1"/>
      <c r="D215" s="177"/>
      <c r="E215" s="177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K215"/>
      <c r="AL215"/>
      <c r="AM215"/>
    </row>
    <row r="216" spans="1:39" x14ac:dyDescent="0.25">
      <c r="A216"/>
      <c r="B216" s="1"/>
      <c r="C216" s="1"/>
      <c r="D216" s="177"/>
      <c r="E216" s="177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K216"/>
      <c r="AL216"/>
      <c r="AM216"/>
    </row>
    <row r="217" spans="1:39" x14ac:dyDescent="0.25">
      <c r="A217"/>
      <c r="B217" s="1"/>
      <c r="C217" s="1"/>
      <c r="D217" s="177"/>
      <c r="E217" s="17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K217"/>
      <c r="AL217"/>
      <c r="AM217"/>
    </row>
    <row r="218" spans="1:39" x14ac:dyDescent="0.25">
      <c r="A218"/>
      <c r="B218" s="1"/>
      <c r="C218" s="1"/>
      <c r="D218" s="177"/>
      <c r="E218" s="177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K218"/>
      <c r="AL218"/>
      <c r="AM218"/>
    </row>
    <row r="219" spans="1:39" x14ac:dyDescent="0.25">
      <c r="A219"/>
      <c r="B219" s="1"/>
      <c r="C219" s="1"/>
      <c r="D219" s="177"/>
      <c r="E219" s="177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K219"/>
      <c r="AL219"/>
      <c r="AM219"/>
    </row>
    <row r="220" spans="1:39" x14ac:dyDescent="0.25">
      <c r="A220"/>
      <c r="B220" s="1"/>
      <c r="C220" s="1"/>
      <c r="D220" s="177"/>
      <c r="E220" s="177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K220"/>
      <c r="AL220"/>
      <c r="AM220"/>
    </row>
    <row r="221" spans="1:39" x14ac:dyDescent="0.25">
      <c r="A221"/>
      <c r="B221" s="1"/>
      <c r="C221" s="1"/>
      <c r="D221" s="177"/>
      <c r="E221" s="177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K221"/>
      <c r="AL221"/>
      <c r="AM221"/>
    </row>
    <row r="222" spans="1:39" x14ac:dyDescent="0.25">
      <c r="A222"/>
      <c r="B222" s="1"/>
      <c r="C222" s="1"/>
      <c r="D222" s="177"/>
      <c r="E222" s="177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K222"/>
      <c r="AL222"/>
      <c r="AM222"/>
    </row>
    <row r="223" spans="1:39" x14ac:dyDescent="0.25">
      <c r="A223"/>
      <c r="B223" s="1"/>
      <c r="C223" s="1"/>
      <c r="D223" s="177"/>
      <c r="E223" s="177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K223"/>
      <c r="AL223"/>
      <c r="AM223"/>
    </row>
    <row r="224" spans="1:39" x14ac:dyDescent="0.25">
      <c r="A224"/>
      <c r="B224" s="1"/>
      <c r="C224" s="1"/>
      <c r="D224" s="177"/>
      <c r="E224" s="177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K224"/>
      <c r="AL224"/>
      <c r="AM224"/>
    </row>
    <row r="225" spans="1:39" x14ac:dyDescent="0.25">
      <c r="A225"/>
      <c r="B225" s="1"/>
      <c r="C225" s="1"/>
      <c r="D225" s="177"/>
      <c r="E225" s="177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K225"/>
      <c r="AL225"/>
      <c r="AM225"/>
    </row>
    <row r="226" spans="1:39" x14ac:dyDescent="0.25">
      <c r="A226"/>
      <c r="B226" s="1"/>
      <c r="C226" s="1"/>
      <c r="D226" s="177"/>
      <c r="E226" s="177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K226"/>
      <c r="AL226"/>
      <c r="AM226"/>
    </row>
    <row r="227" spans="1:39" x14ac:dyDescent="0.25">
      <c r="A227"/>
      <c r="B227" s="1"/>
      <c r="C227" s="1"/>
      <c r="D227" s="177"/>
      <c r="E227" s="17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K227"/>
      <c r="AL227"/>
      <c r="AM227"/>
    </row>
    <row r="228" spans="1:39" x14ac:dyDescent="0.25">
      <c r="A228"/>
      <c r="B228" s="1"/>
      <c r="C228" s="1"/>
      <c r="D228" s="177"/>
      <c r="E228" s="177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K228"/>
      <c r="AL228"/>
      <c r="AM228"/>
    </row>
    <row r="229" spans="1:39" x14ac:dyDescent="0.25">
      <c r="A229"/>
      <c r="B229" s="1"/>
      <c r="C229" s="1"/>
      <c r="D229" s="177"/>
      <c r="E229" s="177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K229"/>
      <c r="AL229"/>
      <c r="AM229"/>
    </row>
    <row r="230" spans="1:39" x14ac:dyDescent="0.25">
      <c r="A230"/>
      <c r="B230" s="1"/>
      <c r="C230" s="1"/>
      <c r="D230" s="177"/>
      <c r="E230" s="177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K230"/>
      <c r="AL230"/>
      <c r="AM230"/>
    </row>
    <row r="231" spans="1:39" x14ac:dyDescent="0.25">
      <c r="A231"/>
      <c r="B231" s="1"/>
      <c r="C231" s="1"/>
      <c r="D231" s="177"/>
      <c r="E231" s="177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K231"/>
      <c r="AL231"/>
      <c r="AM231"/>
    </row>
    <row r="232" spans="1:39" x14ac:dyDescent="0.25">
      <c r="A232"/>
      <c r="B232" s="1"/>
      <c r="C232" s="1"/>
      <c r="D232" s="177"/>
      <c r="E232" s="177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K232"/>
      <c r="AL232"/>
      <c r="AM232"/>
    </row>
    <row r="233" spans="1:39" x14ac:dyDescent="0.25">
      <c r="A233"/>
      <c r="B233" s="1"/>
      <c r="C233" s="1"/>
      <c r="D233" s="177"/>
      <c r="E233" s="177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K233"/>
      <c r="AL233"/>
      <c r="AM233"/>
    </row>
    <row r="234" spans="1:39" x14ac:dyDescent="0.25">
      <c r="A234"/>
      <c r="B234" s="1"/>
      <c r="C234" s="1"/>
      <c r="D234" s="177"/>
      <c r="E234" s="177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K234"/>
      <c r="AL234"/>
      <c r="AM234"/>
    </row>
    <row r="235" spans="1:39" x14ac:dyDescent="0.25">
      <c r="A235"/>
      <c r="B235" s="1"/>
      <c r="C235" s="1"/>
      <c r="D235" s="177"/>
      <c r="E235" s="177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K235"/>
      <c r="AL235"/>
      <c r="AM235"/>
    </row>
    <row r="236" spans="1:39" x14ac:dyDescent="0.25">
      <c r="A236"/>
      <c r="B236" s="1"/>
      <c r="C236" s="1"/>
      <c r="D236" s="177"/>
      <c r="E236" s="177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K236"/>
      <c r="AL236"/>
      <c r="AM236"/>
    </row>
    <row r="237" spans="1:39" x14ac:dyDescent="0.25">
      <c r="A237"/>
      <c r="B237" s="1"/>
      <c r="C237" s="1"/>
      <c r="D237" s="177"/>
      <c r="E237" s="17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K237"/>
      <c r="AL237"/>
      <c r="AM237"/>
    </row>
    <row r="238" spans="1:39" x14ac:dyDescent="0.25">
      <c r="A238"/>
      <c r="B238" s="1"/>
      <c r="C238" s="1"/>
      <c r="D238" s="177"/>
      <c r="E238" s="177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K238"/>
      <c r="AL238"/>
      <c r="AM238"/>
    </row>
    <row r="239" spans="1:39" x14ac:dyDescent="0.25">
      <c r="A239"/>
      <c r="B239" s="1"/>
      <c r="C239" s="1"/>
      <c r="D239" s="177"/>
      <c r="E239" s="177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K239"/>
      <c r="AL239"/>
      <c r="AM239"/>
    </row>
    <row r="240" spans="1:39" x14ac:dyDescent="0.25">
      <c r="A240"/>
      <c r="B240" s="1"/>
      <c r="C240" s="1"/>
      <c r="D240" s="177"/>
      <c r="E240" s="177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K240"/>
      <c r="AL240"/>
      <c r="AM240"/>
    </row>
    <row r="241" spans="1:39" x14ac:dyDescent="0.25">
      <c r="A241"/>
      <c r="B241" s="1"/>
      <c r="C241" s="1"/>
      <c r="D241" s="177"/>
      <c r="E241" s="177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K241"/>
      <c r="AL241"/>
      <c r="AM241"/>
    </row>
    <row r="242" spans="1:39" x14ac:dyDescent="0.25">
      <c r="A242"/>
      <c r="B242" s="1"/>
      <c r="C242" s="1"/>
      <c r="D242" s="177"/>
      <c r="E242" s="177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K242"/>
      <c r="AL242"/>
      <c r="AM242"/>
    </row>
    <row r="243" spans="1:39" x14ac:dyDescent="0.25">
      <c r="A243"/>
      <c r="B243" s="1"/>
      <c r="C243" s="1"/>
      <c r="D243" s="177"/>
      <c r="E243" s="177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K243"/>
      <c r="AL243"/>
      <c r="AM243"/>
    </row>
    <row r="244" spans="1:39" x14ac:dyDescent="0.25">
      <c r="A244"/>
      <c r="B244" s="1"/>
      <c r="C244" s="1"/>
      <c r="D244" s="177"/>
      <c r="E244" s="177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K244"/>
      <c r="AL244"/>
      <c r="AM244"/>
    </row>
    <row r="245" spans="1:39" x14ac:dyDescent="0.25">
      <c r="A245"/>
      <c r="B245" s="1"/>
      <c r="C245" s="1"/>
      <c r="D245" s="177"/>
      <c r="E245" s="177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K245"/>
      <c r="AL245"/>
      <c r="AM245"/>
    </row>
    <row r="246" spans="1:39" x14ac:dyDescent="0.25">
      <c r="A246"/>
      <c r="B246" s="1"/>
      <c r="C246" s="1"/>
      <c r="D246" s="177"/>
      <c r="E246" s="177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K246"/>
      <c r="AL246"/>
      <c r="AM246"/>
    </row>
    <row r="247" spans="1:39" x14ac:dyDescent="0.25">
      <c r="A247"/>
      <c r="B247" s="1"/>
      <c r="C247" s="1"/>
      <c r="D247" s="177"/>
      <c r="E247" s="17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K247"/>
      <c r="AL247"/>
      <c r="AM247"/>
    </row>
    <row r="248" spans="1:39" x14ac:dyDescent="0.25">
      <c r="A248"/>
      <c r="B248" s="1"/>
      <c r="C248" s="1"/>
      <c r="D248" s="177"/>
      <c r="E248" s="177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K248"/>
      <c r="AL248"/>
      <c r="AM248"/>
    </row>
    <row r="249" spans="1:39" x14ac:dyDescent="0.25">
      <c r="A249"/>
      <c r="B249" s="1"/>
      <c r="C249" s="1"/>
      <c r="D249" s="177"/>
      <c r="E249" s="177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K249"/>
      <c r="AL249"/>
      <c r="AM249"/>
    </row>
    <row r="250" spans="1:39" x14ac:dyDescent="0.25">
      <c r="A250"/>
      <c r="B250" s="1"/>
      <c r="C250" s="1"/>
      <c r="D250" s="177"/>
      <c r="E250" s="177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K250"/>
      <c r="AL250"/>
      <c r="AM250"/>
    </row>
    <row r="251" spans="1:39" x14ac:dyDescent="0.25">
      <c r="A251"/>
      <c r="B251" s="1"/>
      <c r="C251" s="1"/>
      <c r="D251" s="177"/>
      <c r="E251" s="177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K251"/>
      <c r="AL251"/>
      <c r="AM251"/>
    </row>
    <row r="252" spans="1:39" x14ac:dyDescent="0.25">
      <c r="A252"/>
      <c r="B252" s="1"/>
      <c r="C252" s="1"/>
      <c r="D252" s="177"/>
      <c r="E252" s="177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K252"/>
      <c r="AL252"/>
      <c r="AM252"/>
    </row>
    <row r="253" spans="1:39" x14ac:dyDescent="0.25">
      <c r="A253"/>
      <c r="B253" s="1"/>
      <c r="C253" s="1"/>
      <c r="D253" s="177"/>
      <c r="E253" s="177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K253"/>
      <c r="AL253"/>
      <c r="AM253"/>
    </row>
    <row r="254" spans="1:39" x14ac:dyDescent="0.25">
      <c r="A254"/>
      <c r="B254" s="1"/>
      <c r="C254" s="1"/>
      <c r="D254" s="177"/>
      <c r="E254" s="177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K254"/>
      <c r="AL254"/>
      <c r="AM254"/>
    </row>
    <row r="255" spans="1:39" x14ac:dyDescent="0.25">
      <c r="A255"/>
      <c r="B255" s="1"/>
      <c r="C255" s="1"/>
      <c r="D255" s="177"/>
      <c r="E255" s="177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K255"/>
      <c r="AL255"/>
      <c r="AM255"/>
    </row>
    <row r="256" spans="1:39" x14ac:dyDescent="0.25">
      <c r="A256"/>
      <c r="B256" s="1"/>
      <c r="C256" s="1"/>
      <c r="D256" s="177"/>
      <c r="E256" s="177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K256"/>
      <c r="AL256"/>
      <c r="AM256"/>
    </row>
    <row r="257" spans="1:39" x14ac:dyDescent="0.25">
      <c r="A257"/>
      <c r="B257" s="1"/>
      <c r="C257" s="1"/>
      <c r="D257" s="177"/>
      <c r="E257" s="17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K257"/>
      <c r="AL257"/>
      <c r="AM257"/>
    </row>
    <row r="258" spans="1:39" x14ac:dyDescent="0.25">
      <c r="A258"/>
      <c r="B258" s="1"/>
      <c r="C258" s="1"/>
      <c r="D258" s="177"/>
      <c r="E258" s="177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K258"/>
      <c r="AL258"/>
      <c r="AM258"/>
    </row>
    <row r="259" spans="1:39" x14ac:dyDescent="0.25">
      <c r="A259"/>
      <c r="B259" s="1"/>
      <c r="C259" s="1"/>
      <c r="D259" s="177"/>
      <c r="E259" s="177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K259"/>
      <c r="AL259"/>
      <c r="AM259"/>
    </row>
    <row r="260" spans="1:39" x14ac:dyDescent="0.25">
      <c r="A260"/>
      <c r="B260" s="1"/>
      <c r="C260" s="1"/>
      <c r="D260" s="177"/>
      <c r="E260" s="177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K260"/>
      <c r="AL260"/>
      <c r="AM260"/>
    </row>
    <row r="261" spans="1:39" x14ac:dyDescent="0.25">
      <c r="A261"/>
      <c r="B261" s="1"/>
      <c r="C261" s="1"/>
      <c r="D261" s="177"/>
      <c r="E261" s="177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K261"/>
      <c r="AL261"/>
      <c r="AM261"/>
    </row>
    <row r="262" spans="1:39" x14ac:dyDescent="0.25">
      <c r="A262"/>
      <c r="B262" s="1"/>
      <c r="C262" s="1"/>
      <c r="D262" s="177"/>
      <c r="E262" s="177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K262"/>
      <c r="AL262"/>
      <c r="AM262"/>
    </row>
    <row r="263" spans="1:39" x14ac:dyDescent="0.25">
      <c r="A263"/>
      <c r="B263" s="1"/>
      <c r="C263" s="1"/>
      <c r="D263" s="177"/>
      <c r="E263" s="177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K263"/>
      <c r="AL263"/>
      <c r="AM263"/>
    </row>
    <row r="264" spans="1:39" x14ac:dyDescent="0.25">
      <c r="A264"/>
      <c r="B264" s="1"/>
      <c r="C264" s="1"/>
      <c r="D264" s="177"/>
      <c r="E264" s="177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K264"/>
      <c r="AL264"/>
      <c r="AM264"/>
    </row>
    <row r="265" spans="1:39" x14ac:dyDescent="0.25">
      <c r="A265"/>
      <c r="B265" s="1"/>
      <c r="C265" s="1"/>
      <c r="D265" s="177"/>
      <c r="E265" s="177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K265"/>
      <c r="AL265"/>
      <c r="AM265"/>
    </row>
    <row r="266" spans="1:39" x14ac:dyDescent="0.25">
      <c r="A266"/>
      <c r="B266" s="1"/>
      <c r="C266" s="1"/>
      <c r="D266" s="177"/>
      <c r="E266" s="177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K266"/>
      <c r="AL266"/>
      <c r="AM266"/>
    </row>
    <row r="267" spans="1:39" x14ac:dyDescent="0.25">
      <c r="A267"/>
      <c r="B267" s="1"/>
      <c r="C267" s="1"/>
      <c r="D267" s="177"/>
      <c r="E267" s="17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K267"/>
      <c r="AL267"/>
      <c r="AM267"/>
    </row>
    <row r="268" spans="1:39" x14ac:dyDescent="0.25">
      <c r="A268"/>
      <c r="B268" s="1"/>
      <c r="C268" s="1"/>
      <c r="D268" s="177"/>
      <c r="E268" s="177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K268"/>
      <c r="AL268"/>
      <c r="AM268"/>
    </row>
    <row r="269" spans="1:39" x14ac:dyDescent="0.25">
      <c r="A269"/>
      <c r="B269" s="1"/>
      <c r="C269" s="1"/>
      <c r="D269" s="177"/>
      <c r="E269" s="177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K269"/>
      <c r="AL269"/>
      <c r="AM269"/>
    </row>
    <row r="270" spans="1:39" x14ac:dyDescent="0.25">
      <c r="A270"/>
      <c r="B270" s="1"/>
      <c r="C270" s="1"/>
      <c r="D270" s="177"/>
      <c r="E270" s="177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K270"/>
      <c r="AL270"/>
      <c r="AM270"/>
    </row>
    <row r="271" spans="1:39" x14ac:dyDescent="0.25">
      <c r="A271"/>
      <c r="B271" s="1"/>
      <c r="C271" s="1"/>
      <c r="D271" s="177"/>
      <c r="E271" s="177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K271"/>
      <c r="AL271"/>
      <c r="AM271"/>
    </row>
    <row r="272" spans="1:39" x14ac:dyDescent="0.25">
      <c r="A272"/>
      <c r="B272" s="1"/>
      <c r="C272" s="1"/>
      <c r="D272" s="177"/>
      <c r="E272" s="177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K272"/>
      <c r="AL272"/>
      <c r="AM272"/>
    </row>
    <row r="273" spans="1:39" x14ac:dyDescent="0.25">
      <c r="A273"/>
      <c r="B273" s="1"/>
      <c r="C273" s="1"/>
      <c r="D273" s="177"/>
      <c r="E273" s="177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K273"/>
      <c r="AL273"/>
      <c r="AM273"/>
    </row>
    <row r="274" spans="1:39" x14ac:dyDescent="0.25">
      <c r="A274"/>
      <c r="B274" s="1"/>
      <c r="C274" s="1"/>
      <c r="D274" s="177"/>
      <c r="E274" s="177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K274"/>
      <c r="AL274"/>
      <c r="AM274"/>
    </row>
    <row r="275" spans="1:39" x14ac:dyDescent="0.25">
      <c r="A275"/>
      <c r="B275" s="1"/>
      <c r="C275" s="1"/>
      <c r="D275" s="177"/>
      <c r="E275" s="177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K275"/>
      <c r="AL275"/>
      <c r="AM275"/>
    </row>
    <row r="276" spans="1:39" x14ac:dyDescent="0.25">
      <c r="A276"/>
      <c r="B276" s="1"/>
      <c r="C276" s="1"/>
      <c r="D276" s="177"/>
      <c r="E276" s="177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K276"/>
      <c r="AL276"/>
      <c r="AM276"/>
    </row>
    <row r="277" spans="1:39" x14ac:dyDescent="0.25">
      <c r="A277"/>
      <c r="B277" s="1"/>
      <c r="C277" s="1"/>
      <c r="D277" s="177"/>
      <c r="E277" s="1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K277"/>
      <c r="AL277"/>
      <c r="AM277"/>
    </row>
    <row r="278" spans="1:39" x14ac:dyDescent="0.25">
      <c r="A278"/>
      <c r="B278" s="1"/>
      <c r="C278" s="1"/>
      <c r="D278" s="177"/>
      <c r="E278" s="177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K278"/>
      <c r="AL278"/>
      <c r="AM278"/>
    </row>
    <row r="279" spans="1:39" x14ac:dyDescent="0.25">
      <c r="A279"/>
      <c r="B279" s="1"/>
      <c r="C279" s="1"/>
      <c r="D279" s="177"/>
      <c r="E279" s="177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K279"/>
      <c r="AL279"/>
      <c r="AM279"/>
    </row>
    <row r="280" spans="1:39" x14ac:dyDescent="0.25">
      <c r="A280"/>
      <c r="B280" s="1"/>
      <c r="C280" s="1"/>
      <c r="D280" s="177"/>
      <c r="E280" s="177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K280"/>
      <c r="AL280"/>
      <c r="AM280"/>
    </row>
    <row r="281" spans="1:39" x14ac:dyDescent="0.25">
      <c r="A281"/>
      <c r="B281" s="1"/>
      <c r="C281" s="1"/>
      <c r="D281" s="177"/>
      <c r="E281" s="177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K281"/>
      <c r="AL281"/>
      <c r="AM281"/>
    </row>
    <row r="282" spans="1:39" x14ac:dyDescent="0.25">
      <c r="A282"/>
      <c r="B282" s="1"/>
      <c r="C282" s="1"/>
      <c r="D282" s="177"/>
      <c r="E282" s="177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K282"/>
      <c r="AL282"/>
      <c r="AM282"/>
    </row>
    <row r="283" spans="1:39" x14ac:dyDescent="0.25">
      <c r="A283"/>
      <c r="B283" s="1"/>
      <c r="C283" s="1"/>
      <c r="D283" s="177"/>
      <c r="E283" s="177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K283"/>
      <c r="AL283"/>
      <c r="AM283"/>
    </row>
    <row r="284" spans="1:39" x14ac:dyDescent="0.25">
      <c r="A284"/>
      <c r="B284" s="1"/>
      <c r="C284" s="1"/>
      <c r="D284" s="177"/>
      <c r="E284" s="177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K284"/>
      <c r="AL284"/>
      <c r="AM284"/>
    </row>
    <row r="285" spans="1:39" x14ac:dyDescent="0.25">
      <c r="A285"/>
      <c r="B285" s="1"/>
      <c r="C285" s="1"/>
      <c r="D285" s="177"/>
      <c r="E285" s="177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K285"/>
      <c r="AL285"/>
      <c r="AM285"/>
    </row>
    <row r="286" spans="1:39" x14ac:dyDescent="0.25">
      <c r="A286"/>
      <c r="B286" s="1"/>
      <c r="C286" s="1"/>
      <c r="D286" s="177"/>
      <c r="E286" s="177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K286"/>
      <c r="AL286"/>
      <c r="AM286"/>
    </row>
    <row r="287" spans="1:39" x14ac:dyDescent="0.25">
      <c r="A287"/>
      <c r="B287" s="1"/>
      <c r="C287" s="1"/>
      <c r="D287" s="177"/>
      <c r="E287" s="17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K287"/>
      <c r="AL287"/>
      <c r="AM287"/>
    </row>
    <row r="288" spans="1:39" x14ac:dyDescent="0.25">
      <c r="A288"/>
      <c r="B288" s="1"/>
      <c r="C288" s="1"/>
      <c r="D288" s="177"/>
      <c r="E288" s="177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K288"/>
      <c r="AL288"/>
      <c r="AM288"/>
    </row>
    <row r="289" spans="1:39" x14ac:dyDescent="0.25">
      <c r="A289"/>
      <c r="B289" s="1"/>
      <c r="C289" s="1"/>
      <c r="D289" s="177"/>
      <c r="E289" s="177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K289"/>
      <c r="AL289"/>
      <c r="AM289"/>
    </row>
    <row r="290" spans="1:39" x14ac:dyDescent="0.25">
      <c r="A290"/>
      <c r="B290" s="1"/>
      <c r="C290" s="1"/>
      <c r="D290" s="177"/>
      <c r="E290" s="177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K290"/>
      <c r="AL290"/>
      <c r="AM290"/>
    </row>
    <row r="291" spans="1:39" x14ac:dyDescent="0.25">
      <c r="A291"/>
      <c r="B291" s="1"/>
      <c r="C291" s="1"/>
      <c r="D291" s="177"/>
      <c r="E291" s="177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K291"/>
      <c r="AL291"/>
      <c r="AM291"/>
    </row>
    <row r="292" spans="1:39" x14ac:dyDescent="0.25">
      <c r="A292"/>
      <c r="B292" s="1"/>
      <c r="C292" s="1"/>
      <c r="D292" s="177"/>
      <c r="E292" s="177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K292"/>
      <c r="AL292"/>
      <c r="AM292"/>
    </row>
    <row r="293" spans="1:39" x14ac:dyDescent="0.25">
      <c r="A293"/>
      <c r="B293" s="1"/>
      <c r="C293" s="1"/>
      <c r="D293" s="177"/>
      <c r="E293" s="177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K293"/>
      <c r="AL293"/>
      <c r="AM293"/>
    </row>
    <row r="294" spans="1:39" x14ac:dyDescent="0.25">
      <c r="A294"/>
      <c r="B294" s="1"/>
      <c r="C294" s="1"/>
      <c r="D294" s="177"/>
      <c r="E294" s="177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K294"/>
      <c r="AL294"/>
      <c r="AM294"/>
    </row>
    <row r="295" spans="1:39" x14ac:dyDescent="0.25">
      <c r="A295"/>
      <c r="B295" s="1"/>
      <c r="C295" s="1"/>
      <c r="D295" s="177"/>
      <c r="E295" s="177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K295"/>
      <c r="AL295"/>
      <c r="AM295"/>
    </row>
    <row r="296" spans="1:39" x14ac:dyDescent="0.25">
      <c r="A296"/>
      <c r="B296" s="1"/>
      <c r="C296" s="1"/>
      <c r="D296" s="177"/>
      <c r="E296" s="177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K296"/>
      <c r="AL296"/>
      <c r="AM296"/>
    </row>
    <row r="297" spans="1:39" x14ac:dyDescent="0.25">
      <c r="A297"/>
      <c r="B297" s="1"/>
      <c r="C297" s="1"/>
      <c r="D297" s="177"/>
      <c r="E297" s="17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K297"/>
      <c r="AL297"/>
      <c r="AM297"/>
    </row>
    <row r="298" spans="1:39" x14ac:dyDescent="0.25">
      <c r="A298"/>
      <c r="B298" s="1"/>
      <c r="C298" s="1"/>
      <c r="D298" s="177"/>
      <c r="E298" s="177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K298"/>
      <c r="AL298"/>
      <c r="AM298"/>
    </row>
    <row r="299" spans="1:39" x14ac:dyDescent="0.25">
      <c r="A299"/>
      <c r="B299" s="1"/>
      <c r="C299" s="1"/>
      <c r="D299" s="177"/>
      <c r="E299" s="177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K299"/>
      <c r="AL299"/>
      <c r="AM299"/>
    </row>
    <row r="300" spans="1:39" x14ac:dyDescent="0.25">
      <c r="A300"/>
      <c r="B300" s="1"/>
      <c r="C300" s="1"/>
      <c r="D300" s="177"/>
      <c r="E300" s="177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K300"/>
      <c r="AL300"/>
      <c r="AM300"/>
    </row>
    <row r="301" spans="1:39" x14ac:dyDescent="0.25">
      <c r="A301"/>
      <c r="B301" s="1"/>
      <c r="C301" s="1"/>
      <c r="D301" s="177"/>
      <c r="E301" s="177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K301"/>
      <c r="AL301"/>
      <c r="AM301"/>
    </row>
    <row r="302" spans="1:39" x14ac:dyDescent="0.25">
      <c r="A302"/>
      <c r="B302" s="1"/>
      <c r="C302" s="1"/>
      <c r="D302" s="177"/>
      <c r="E302" s="177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K302"/>
      <c r="AL302"/>
      <c r="AM302"/>
    </row>
    <row r="303" spans="1:39" x14ac:dyDescent="0.25">
      <c r="A303"/>
      <c r="B303" s="1"/>
      <c r="C303" s="1"/>
      <c r="D303" s="177"/>
      <c r="E303" s="177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K303"/>
      <c r="AL303"/>
      <c r="AM303"/>
    </row>
    <row r="304" spans="1:39" x14ac:dyDescent="0.25">
      <c r="A304"/>
      <c r="B304" s="1"/>
      <c r="C304" s="1"/>
      <c r="D304" s="177"/>
      <c r="E304" s="177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K304"/>
      <c r="AL304"/>
      <c r="AM304"/>
    </row>
    <row r="305" spans="1:39" x14ac:dyDescent="0.25">
      <c r="A305"/>
      <c r="B305" s="1"/>
      <c r="C305" s="1"/>
      <c r="D305" s="177"/>
      <c r="E305" s="177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K305"/>
      <c r="AL305"/>
      <c r="AM305"/>
    </row>
    <row r="306" spans="1:39" x14ac:dyDescent="0.25">
      <c r="A306"/>
      <c r="B306" s="1"/>
      <c r="C306" s="1"/>
      <c r="D306" s="177"/>
      <c r="E306" s="177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K306"/>
      <c r="AL306"/>
      <c r="AM306"/>
    </row>
    <row r="307" spans="1:39" x14ac:dyDescent="0.25">
      <c r="A307"/>
      <c r="B307" s="1"/>
      <c r="C307" s="1"/>
      <c r="D307" s="177"/>
      <c r="E307" s="17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K307"/>
      <c r="AL307"/>
      <c r="AM307"/>
    </row>
    <row r="308" spans="1:39" x14ac:dyDescent="0.25">
      <c r="A308"/>
      <c r="B308" s="1"/>
      <c r="C308" s="1"/>
      <c r="D308" s="177"/>
      <c r="E308" s="177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K308"/>
      <c r="AL308"/>
      <c r="AM308"/>
    </row>
    <row r="309" spans="1:39" x14ac:dyDescent="0.25">
      <c r="A309"/>
      <c r="B309" s="1"/>
      <c r="C309" s="1"/>
      <c r="D309" s="177"/>
      <c r="E309" s="177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K309"/>
      <c r="AL309"/>
      <c r="AM309"/>
    </row>
    <row r="310" spans="1:39" x14ac:dyDescent="0.25">
      <c r="A310"/>
      <c r="B310" s="1"/>
      <c r="C310" s="1"/>
      <c r="D310" s="177"/>
      <c r="E310" s="177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K310"/>
      <c r="AL310"/>
      <c r="AM310"/>
    </row>
    <row r="311" spans="1:39" x14ac:dyDescent="0.25">
      <c r="A311"/>
      <c r="B311" s="1"/>
      <c r="C311" s="1"/>
      <c r="D311" s="177"/>
      <c r="E311" s="177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K311"/>
      <c r="AL311"/>
      <c r="AM311"/>
    </row>
    <row r="312" spans="1:39" x14ac:dyDescent="0.25">
      <c r="A312"/>
      <c r="B312" s="1"/>
      <c r="C312" s="1"/>
      <c r="D312" s="177"/>
      <c r="E312" s="177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K312"/>
      <c r="AL312"/>
      <c r="AM312"/>
    </row>
    <row r="313" spans="1:39" x14ac:dyDescent="0.25">
      <c r="A313"/>
      <c r="B313" s="1"/>
      <c r="C313" s="1"/>
      <c r="D313" s="177"/>
      <c r="E313" s="177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K313"/>
      <c r="AL313"/>
      <c r="AM313"/>
    </row>
    <row r="314" spans="1:39" x14ac:dyDescent="0.25">
      <c r="A314"/>
      <c r="B314" s="1"/>
      <c r="C314" s="1"/>
      <c r="D314" s="177"/>
      <c r="E314" s="177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K314"/>
      <c r="AL314"/>
      <c r="AM314"/>
    </row>
    <row r="315" spans="1:39" x14ac:dyDescent="0.25">
      <c r="A315"/>
      <c r="B315" s="1"/>
      <c r="C315" s="1"/>
      <c r="D315" s="177"/>
      <c r="E315" s="177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</row>
    <row r="316" spans="1:39" x14ac:dyDescent="0.25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</row>
    <row r="317" spans="1:39" x14ac:dyDescent="0.25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</row>
    <row r="318" spans="1:39" x14ac:dyDescent="0.25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</row>
    <row r="319" spans="1:39" x14ac:dyDescent="0.25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</row>
    <row r="320" spans="1:39" x14ac:dyDescent="0.25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</row>
    <row r="321" spans="1:35" x14ac:dyDescent="0.25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</row>
    <row r="322" spans="1:35" x14ac:dyDescent="0.25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5" x14ac:dyDescent="0.25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5" x14ac:dyDescent="0.25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</sheetData>
  <hyperlinks>
    <hyperlink ref="A8" r:id="rId1" display="SP@"/>
    <hyperlink ref="A9" r:id="rId2" display="SP@"/>
    <hyperlink ref="A10" r:id="rId3" display="SP@"/>
    <hyperlink ref="A12" r:id="rId4" display="SP@"/>
    <hyperlink ref="A11" r:id="rId5" display="SP@"/>
  </hyperlinks>
  <pageMargins left="0.7" right="0.7" top="0.75" bottom="0.75" header="0.3" footer="0.3"/>
  <pageSetup orientation="portrait" horizontalDpi="0" verticalDpi="0" r:id="rId6"/>
  <drawing r:id="rId7"/>
  <tableParts count="1">
    <tablePart r:id="rId8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R331"/>
  <sheetViews>
    <sheetView tabSelected="1" topLeftCell="P1" zoomScaleNormal="100" workbookViewId="0">
      <selection activeCell="T10" sqref="T10"/>
    </sheetView>
  </sheetViews>
  <sheetFormatPr defaultRowHeight="15" x14ac:dyDescent="0.25"/>
  <cols>
    <col min="1" max="1" width="15" style="140" customWidth="1"/>
    <col min="2" max="2" width="8.28515625" style="2" customWidth="1"/>
    <col min="3" max="3" width="7.42578125" style="2" customWidth="1"/>
    <col min="4" max="4" width="9.42578125" style="188" customWidth="1"/>
    <col min="5" max="5" width="10.85546875" style="188" customWidth="1"/>
    <col min="6" max="6" width="12.85546875" style="2" customWidth="1"/>
    <col min="7" max="7" width="12" style="2" customWidth="1"/>
    <col min="8" max="8" width="10.5703125" style="2" customWidth="1"/>
    <col min="9" max="9" width="10.85546875" style="2" customWidth="1"/>
    <col min="10" max="10" width="17.7109375" style="2" customWidth="1"/>
    <col min="11" max="11" width="8.85546875" style="2" customWidth="1"/>
    <col min="12" max="12" width="8.42578125" style="2" customWidth="1"/>
    <col min="13" max="17" width="10" style="2" customWidth="1"/>
    <col min="18" max="23" width="14.7109375" style="2" customWidth="1"/>
    <col min="24" max="24" width="19.5703125" style="2" customWidth="1"/>
    <col min="25" max="25" width="9.42578125" style="2" customWidth="1"/>
    <col min="26" max="27" width="9.5703125" style="2" customWidth="1"/>
    <col min="28" max="28" width="10.7109375" style="2" customWidth="1"/>
    <col min="29" max="29" width="9.85546875" style="2" customWidth="1"/>
    <col min="30" max="30" width="12.5703125" style="2" customWidth="1"/>
    <col min="31" max="31" width="11.7109375" style="2" customWidth="1"/>
    <col min="32" max="32" width="11" style="2" customWidth="1"/>
    <col min="33" max="33" width="12.42578125" style="2" customWidth="1"/>
    <col min="34" max="35" width="14.28515625" style="2" customWidth="1"/>
    <col min="36" max="36" width="15.28515625" style="2" customWidth="1"/>
    <col min="37" max="37" width="13.5703125" style="2" customWidth="1"/>
    <col min="38" max="38" width="12.42578125" style="1" customWidth="1"/>
    <col min="39" max="39" width="9.140625" style="1"/>
    <col min="40" max="16384" width="9.140625" style="2"/>
  </cols>
  <sheetData>
    <row r="1" spans="1:39" ht="80.25" customHeight="1" x14ac:dyDescent="0.25">
      <c r="A1" s="231" t="s">
        <v>59</v>
      </c>
      <c r="B1" s="74" t="s">
        <v>57</v>
      </c>
      <c r="C1" s="74" t="s">
        <v>58</v>
      </c>
      <c r="D1" s="273" t="s">
        <v>194</v>
      </c>
      <c r="E1" s="274" t="s">
        <v>24</v>
      </c>
      <c r="F1" s="74" t="s">
        <v>63</v>
      </c>
      <c r="G1" s="3" t="s">
        <v>23</v>
      </c>
      <c r="H1" s="3" t="s">
        <v>3</v>
      </c>
      <c r="I1" s="3" t="s">
        <v>13</v>
      </c>
      <c r="J1" s="3" t="s">
        <v>14</v>
      </c>
      <c r="K1" s="3" t="s">
        <v>20</v>
      </c>
      <c r="L1" s="3" t="s">
        <v>19</v>
      </c>
      <c r="M1" s="3" t="s">
        <v>53</v>
      </c>
      <c r="N1" s="3" t="s">
        <v>54</v>
      </c>
      <c r="O1" s="3" t="s">
        <v>79</v>
      </c>
      <c r="P1" s="3" t="s">
        <v>81</v>
      </c>
      <c r="Q1" s="3" t="s">
        <v>82</v>
      </c>
      <c r="R1" s="3" t="s">
        <v>84</v>
      </c>
      <c r="S1" s="3" t="s">
        <v>85</v>
      </c>
      <c r="T1" s="3" t="s">
        <v>296</v>
      </c>
      <c r="U1" s="3" t="s">
        <v>90</v>
      </c>
      <c r="V1" s="3" t="s">
        <v>139</v>
      </c>
      <c r="W1" s="3" t="s">
        <v>102</v>
      </c>
      <c r="X1" s="3" t="s">
        <v>295</v>
      </c>
      <c r="Y1" s="3" t="s">
        <v>5</v>
      </c>
      <c r="Z1" s="3" t="s">
        <v>9</v>
      </c>
      <c r="AA1" s="3" t="s">
        <v>12</v>
      </c>
      <c r="AB1" s="3" t="s">
        <v>76</v>
      </c>
      <c r="AC1" s="3" t="s">
        <v>77</v>
      </c>
      <c r="AD1" s="3" t="s">
        <v>10</v>
      </c>
      <c r="AE1" s="3" t="s">
        <v>11</v>
      </c>
      <c r="AF1" s="3" t="s">
        <v>18</v>
      </c>
      <c r="AG1" s="3" t="s">
        <v>15</v>
      </c>
      <c r="AH1" s="3" t="s">
        <v>17</v>
      </c>
      <c r="AI1" s="3" t="s">
        <v>78</v>
      </c>
      <c r="AJ1" s="1" t="s">
        <v>50</v>
      </c>
      <c r="AK1" s="1" t="s">
        <v>75</v>
      </c>
      <c r="AL1" s="1" t="s">
        <v>80</v>
      </c>
      <c r="AM1" s="1" t="s">
        <v>89</v>
      </c>
    </row>
    <row r="2" spans="1:39" x14ac:dyDescent="0.25">
      <c r="A2" s="143" t="s">
        <v>186</v>
      </c>
      <c r="B2" s="185">
        <v>1</v>
      </c>
      <c r="C2" s="185">
        <v>1</v>
      </c>
      <c r="D2" s="275">
        <f>Table11234579[[#This Row],[a (mm)]]/Table11234579[[#This Row],[d (mm)]]</f>
        <v>2.5945945945945947</v>
      </c>
      <c r="E2" s="275">
        <f>277/2</f>
        <v>138.5</v>
      </c>
      <c r="F2" s="137">
        <f>Table11234579[[#This Row],[d (mm)]]</f>
        <v>925</v>
      </c>
      <c r="G2" s="111">
        <f>E2*Y2</f>
        <v>332400</v>
      </c>
      <c r="H2" s="111">
        <f t="shared" ref="H2:H43" si="0">G2/($AL$5*AH2*0.001)</f>
        <v>5.0484530818408127E-7</v>
      </c>
      <c r="I2" s="111">
        <f>G2/(Table11234579[[#This Row],[b (mm)]]*Z2^2)</f>
        <v>1.2949598246895543E-3</v>
      </c>
      <c r="J2" s="111">
        <f t="shared" ref="J2:J43" si="1">G2/(AD2*AF2*Z2*0.001)</f>
        <v>0.23281590628529403</v>
      </c>
      <c r="K2" s="111">
        <f t="shared" ref="K2:K42" si="2">E2/($AL$4*AG2*0.001)</f>
        <v>4.9015453429556909E-7</v>
      </c>
      <c r="L2" s="111">
        <f>E2/(Table11234579[[#This Row],[b (mm)]]*Z2)</f>
        <v>4.9909909909909907E-4</v>
      </c>
      <c r="M2" s="111">
        <f>Table11234579[[#This Row],[M (KN.mm)]]/(Table11234579[[#This Row],[b (mm)]]*Table11234579[[#This Row],[d (mm)]])</f>
        <v>1.1978378378378378</v>
      </c>
      <c r="N2" s="111">
        <f>Table11234579[[#This Row],[M (KN.mm)]]/(Table11234579[[#This Row],[b (mm)]]*Table11234579[[#This Row],[h (mm)]])</f>
        <v>1.1080000000000001</v>
      </c>
      <c r="O2" s="111">
        <f>Table11234579[[#This Row],[M (KN.mm)]]/(Table11234579[[#This Row],[b (mm)]]*Table11234579[[#This Row],[h (mm)]]*Table11234579[[#This Row],[L(mm)]])</f>
        <v>2.3083333333333332E-4</v>
      </c>
      <c r="P2" s="111">
        <f>Table11234579[[#This Row],[M (KN.mm)]]/(Table11234579[[#This Row],[b (mm)]]*Table11234579[[#This Row],[d (mm)]]*Table11234579[[#This Row],[L(mm)]])</f>
        <v>2.4954954954954954E-4</v>
      </c>
      <c r="Q2" s="111">
        <f>Table11234579[[#This Row],[M (KN.mm)]]/(Table11234579[[#This Row],[b (mm)]]*Table11234579[[#This Row],[h (mm)]]*Table11234579[[#This Row],[L(mm)]]*Table11234579[[#This Row],[fc (Mpa)]])</f>
        <v>3.6067708333333332E-6</v>
      </c>
      <c r="R2" s="111">
        <f>Table11234579[[#This Row],[M (KN.mm)]]/(Table11234579[[#This Row],[b (mm)]]*Table11234579[[#This Row],[h (mm)]]*Table11234579[[#This Row],[L(mm)]]/2)</f>
        <v>4.6166666666666665E-4</v>
      </c>
      <c r="S2" s="111">
        <f>Table11234579[[#This Row],[M (KN.mm)]]/(Table11234579[[#This Row],[a (mm)]]*Table11234579[[#This Row],[b (mm)]]*Table11234579[[#This Row],[h (mm)]]*Table11234579[[#This Row],[L(mm)]]/2)</f>
        <v>1.923611111111111E-7</v>
      </c>
      <c r="T2" s="111">
        <f>G2/($AL$5*AH2*0.001*Table11234579[[#This Row],[pho (%)]])</f>
        <v>5.1514827365722582E-7</v>
      </c>
      <c r="U2" s="111">
        <f>Table11234579[[#This Row],[M (KN.mm)]]/(Table11234579[[#This Row],[b (mm)]]*Table11234579[[#This Row],[d (mm)]]*Table11234579[[#This Row],[pho (%)]])</f>
        <v>1.2222835079977936</v>
      </c>
      <c r="V2" s="111">
        <f>E2*224.8/(2*SQRT(Table11234579[[#This Row],[fc (Mpa)]]*145.037)*Table11234579[[#This Row],[b (mm)]]*Table11234579[[#This Row],[d (mm)]]*(1/25.4)^2)</f>
        <v>0.3756567002706418</v>
      </c>
      <c r="W2" s="111">
        <f>Table11234579[[#This Row],[M (KN.mm)]]/$G$7</f>
        <v>0.3923512747875354</v>
      </c>
      <c r="X2" s="111">
        <f>V2</f>
        <v>0.3756567002706418</v>
      </c>
      <c r="Y2" s="111">
        <f t="shared" ref="Y2:Y7" si="3">4800/2</f>
        <v>2400</v>
      </c>
      <c r="Z2" s="111">
        <v>925</v>
      </c>
      <c r="AA2" s="111">
        <v>1000</v>
      </c>
      <c r="AB2" s="111">
        <v>300</v>
      </c>
      <c r="AC2" s="7">
        <v>64</v>
      </c>
      <c r="AD2" s="111">
        <f>Table11234579[[#This Row],[pho (%)]]*Table11234579[[#This Row],[b (mm)]]*Table11234579[[#This Row],[h (mm)]]/100</f>
        <v>2940</v>
      </c>
      <c r="AE2" s="111">
        <f t="shared" ref="AE2:AE43" si="4">0.76+0.22</f>
        <v>0.98</v>
      </c>
      <c r="AF2" s="111">
        <v>525</v>
      </c>
      <c r="AG2" s="111">
        <f>(1/3-0.21*(MIN(Table11234579[[#This Row],[b (mm)]],AA2)/MAX(Table11234579[[#This Row],[b (mm)]],AA2))*(MIN(Table11234579[[#This Row],[b (mm)]],AA2)^4/(12*MAX(Table11234579[[#This Row],[b (mm)]],AA2)^4)))*MAX(Table11234579[[#This Row],[b (mm)]],AA2)*MIN(Table11234579[[#This Row],[b (mm)]],AA2)^3</f>
        <v>8998851825</v>
      </c>
      <c r="AH2" s="111">
        <f>Table11234579[[#This Row],[b (mm)]]*AA2^3/12</f>
        <v>25000000000</v>
      </c>
      <c r="AI2" s="111">
        <v>4800</v>
      </c>
      <c r="AJ2" s="1"/>
      <c r="AK2" s="1"/>
    </row>
    <row r="3" spans="1:39" x14ac:dyDescent="0.25">
      <c r="A3" s="143" t="s">
        <v>186</v>
      </c>
      <c r="B3" s="185">
        <v>2</v>
      </c>
      <c r="C3" s="185">
        <v>2</v>
      </c>
      <c r="D3" s="275">
        <f>Table11234579[[#This Row],[a (mm)]]/Table11234579[[#This Row],[d (mm)]]</f>
        <v>2.5945945945945947</v>
      </c>
      <c r="E3" s="275">
        <f>402.6/2</f>
        <v>201.3</v>
      </c>
      <c r="F3" s="137">
        <f>Table11234579[[#This Row],[d (mm)]]</f>
        <v>925</v>
      </c>
      <c r="G3" s="111">
        <f t="shared" ref="G3:G42" si="5">E3*Y3</f>
        <v>483120</v>
      </c>
      <c r="H3" s="111">
        <f t="shared" si="0"/>
        <v>7.3375711579390296E-7</v>
      </c>
      <c r="I3" s="111">
        <f>G3/(Table11234579[[#This Row],[b (mm)]]*Z3^2)</f>
        <v>1.8821329437545653E-3</v>
      </c>
      <c r="J3" s="111">
        <f t="shared" si="1"/>
        <v>0.33838153021826489</v>
      </c>
      <c r="K3" s="111">
        <f t="shared" si="2"/>
        <v>7.1240511013500409E-7</v>
      </c>
      <c r="L3" s="111">
        <f>E3/(Table11234579[[#This Row],[b (mm)]]*Z3)</f>
        <v>7.2540540540540546E-4</v>
      </c>
      <c r="M3" s="111">
        <f>Table11234579[[#This Row],[M (KN.mm)]]/(Table11234579[[#This Row],[b (mm)]]*Table11234579[[#This Row],[d (mm)]])</f>
        <v>1.740972972972973</v>
      </c>
      <c r="N3" s="111">
        <f>Table11234579[[#This Row],[M (KN.mm)]]/(Table11234579[[#This Row],[b (mm)]]*Table11234579[[#This Row],[h (mm)]])</f>
        <v>1.6104000000000001</v>
      </c>
      <c r="O3" s="111">
        <f>Table11234579[[#This Row],[M (KN.mm)]]/(Table11234579[[#This Row],[b (mm)]]*Table11234579[[#This Row],[h (mm)]]*Table11234579[[#This Row],[L(mm)]])</f>
        <v>3.3550000000000002E-4</v>
      </c>
      <c r="P3" s="111">
        <f>Table11234579[[#This Row],[M (KN.mm)]]/(Table11234579[[#This Row],[b (mm)]]*Table11234579[[#This Row],[d (mm)]]*Table11234579[[#This Row],[L(mm)]])</f>
        <v>3.6270270270270268E-4</v>
      </c>
      <c r="Q3" s="111">
        <f>Table11234579[[#This Row],[M (KN.mm)]]/(Table11234579[[#This Row],[b (mm)]]*Table11234579[[#This Row],[h (mm)]]*Table11234579[[#This Row],[L(mm)]]*Table11234579[[#This Row],[fc (Mpa)]])</f>
        <v>5.2421875000000004E-6</v>
      </c>
      <c r="R3" s="111">
        <f>Table11234579[[#This Row],[M (KN.mm)]]/(Table11234579[[#This Row],[b (mm)]]*Table11234579[[#This Row],[h (mm)]]*Table11234579[[#This Row],[L(mm)]]/2)</f>
        <v>6.7100000000000005E-4</v>
      </c>
      <c r="S3" s="111">
        <f>Table11234579[[#This Row],[M (KN.mm)]]/(Table11234579[[#This Row],[a (mm)]]*Table11234579[[#This Row],[b (mm)]]*Table11234579[[#This Row],[h (mm)]]*Table11234579[[#This Row],[L(mm)]]/2)</f>
        <v>2.7958333333333334E-7</v>
      </c>
      <c r="T3" s="111">
        <f>G3/($AL$5*AH3*0.001*Table11234579[[#This Row],[pho (%)]])</f>
        <v>7.4873175081010507E-7</v>
      </c>
      <c r="U3" s="111">
        <f>Table11234579[[#This Row],[M (KN.mm)]]/(Table11234579[[#This Row],[b (mm)]]*Table11234579[[#This Row],[d (mm)]]*Table11234579[[#This Row],[pho (%)]])</f>
        <v>1.7765030336458907</v>
      </c>
      <c r="V3" s="111">
        <f>E3*224.8/(2*SQRT(Table11234579[[#This Row],[fc (Mpa)]]*145.037)*Table11234579[[#This Row],[b (mm)]]*Table11234579[[#This Row],[d (mm)]]*(1/25.4)^2)</f>
        <v>0.54599056869660789</v>
      </c>
      <c r="W3" s="111">
        <f>Table11234579[[#This Row],[M (KN.mm)]]/$G$7</f>
        <v>0.57025495750708211</v>
      </c>
      <c r="X3" s="111">
        <f t="shared" ref="X3:X40" si="6">V3</f>
        <v>0.54599056869660789</v>
      </c>
      <c r="Y3" s="111">
        <f t="shared" si="3"/>
        <v>2400</v>
      </c>
      <c r="Z3" s="111">
        <v>925</v>
      </c>
      <c r="AA3" s="111">
        <v>1000</v>
      </c>
      <c r="AB3" s="111">
        <v>300</v>
      </c>
      <c r="AC3" s="7">
        <v>64</v>
      </c>
      <c r="AD3" s="111">
        <f>Table11234579[[#This Row],[pho (%)]]*Table11234579[[#This Row],[b (mm)]]*Table11234579[[#This Row],[h (mm)]]/100</f>
        <v>2940</v>
      </c>
      <c r="AE3" s="111">
        <f t="shared" si="4"/>
        <v>0.98</v>
      </c>
      <c r="AF3" s="111">
        <v>525</v>
      </c>
      <c r="AG3" s="111">
        <f>(1/3-0.21*(MIN(Table11234579[[#This Row],[b (mm)]],AA3)/MAX(Table11234579[[#This Row],[b (mm)]],AA3))*(MIN(Table11234579[[#This Row],[b (mm)]],AA3)^4/(12*MAX(Table11234579[[#This Row],[b (mm)]],AA3)^4)))*MAX(Table11234579[[#This Row],[b (mm)]],AA3)*MIN(Table11234579[[#This Row],[b (mm)]],AA3)^3</f>
        <v>8998851825</v>
      </c>
      <c r="AH3" s="111">
        <f>Table11234579[[#This Row],[b (mm)]]*AA3^3/12</f>
        <v>25000000000</v>
      </c>
      <c r="AI3" s="111">
        <v>4800</v>
      </c>
      <c r="AJ3" s="1"/>
      <c r="AK3" s="1"/>
    </row>
    <row r="4" spans="1:39" x14ac:dyDescent="0.25">
      <c r="A4" s="143" t="s">
        <v>186</v>
      </c>
      <c r="B4" s="185">
        <v>3</v>
      </c>
      <c r="C4" s="185">
        <v>3</v>
      </c>
      <c r="D4" s="275">
        <f>Table11234579[[#This Row],[a (mm)]]/Table11234579[[#This Row],[d (mm)]]</f>
        <v>2.5945945945945947</v>
      </c>
      <c r="E4" s="275">
        <f>507/2</f>
        <v>253.5</v>
      </c>
      <c r="F4" s="137">
        <f>Table11234579[[#This Row],[d (mm)]]</f>
        <v>925</v>
      </c>
      <c r="G4" s="111">
        <f t="shared" si="5"/>
        <v>608400</v>
      </c>
      <c r="H4" s="111">
        <f t="shared" si="0"/>
        <v>9.2403094313837265E-7</v>
      </c>
      <c r="I4" s="111">
        <f>G4/(Table11234579[[#This Row],[b (mm)]]*Z4^2)</f>
        <v>2.3701972242512782E-3</v>
      </c>
      <c r="J4" s="111">
        <f t="shared" si="1"/>
        <v>0.4261287526593649</v>
      </c>
      <c r="K4" s="111">
        <f t="shared" si="2"/>
        <v>8.9714205374676366E-7</v>
      </c>
      <c r="L4" s="111">
        <f>E4/(Table11234579[[#This Row],[b (mm)]]*Z4)</f>
        <v>9.1351351351351352E-4</v>
      </c>
      <c r="M4" s="111">
        <f>Table11234579[[#This Row],[M (KN.mm)]]/(Table11234579[[#This Row],[b (mm)]]*Table11234579[[#This Row],[d (mm)]])</f>
        <v>2.1924324324324322</v>
      </c>
      <c r="N4" s="111">
        <f>Table11234579[[#This Row],[M (KN.mm)]]/(Table11234579[[#This Row],[b (mm)]]*Table11234579[[#This Row],[h (mm)]])</f>
        <v>2.028</v>
      </c>
      <c r="O4" s="111">
        <f>Table11234579[[#This Row],[M (KN.mm)]]/(Table11234579[[#This Row],[b (mm)]]*Table11234579[[#This Row],[h (mm)]]*Table11234579[[#This Row],[L(mm)]])</f>
        <v>4.2250000000000002E-4</v>
      </c>
      <c r="P4" s="111">
        <f>Table11234579[[#This Row],[M (KN.mm)]]/(Table11234579[[#This Row],[b (mm)]]*Table11234579[[#This Row],[d (mm)]]*Table11234579[[#This Row],[L(mm)]])</f>
        <v>4.5675675675675676E-4</v>
      </c>
      <c r="Q4" s="111">
        <f>Table11234579[[#This Row],[M (KN.mm)]]/(Table11234579[[#This Row],[b (mm)]]*Table11234579[[#This Row],[h (mm)]]*Table11234579[[#This Row],[L(mm)]]*Table11234579[[#This Row],[fc (Mpa)]])</f>
        <v>6.6015625000000004E-6</v>
      </c>
      <c r="R4" s="111">
        <f>Table11234579[[#This Row],[M (KN.mm)]]/(Table11234579[[#This Row],[b (mm)]]*Table11234579[[#This Row],[h (mm)]]*Table11234579[[#This Row],[L(mm)]]/2)</f>
        <v>8.4500000000000005E-4</v>
      </c>
      <c r="S4" s="111">
        <f>Table11234579[[#This Row],[M (KN.mm)]]/(Table11234579[[#This Row],[a (mm)]]*Table11234579[[#This Row],[b (mm)]]*Table11234579[[#This Row],[h (mm)]]*Table11234579[[#This Row],[L(mm)]]/2)</f>
        <v>3.5208333333333333E-7</v>
      </c>
      <c r="T4" s="111">
        <f>G4/($AL$5*AH4*0.001*Table11234579[[#This Row],[pho (%)]])</f>
        <v>9.4288871748813529E-7</v>
      </c>
      <c r="U4" s="111">
        <f>Table11234579[[#This Row],[M (KN.mm)]]/(Table11234579[[#This Row],[b (mm)]]*Table11234579[[#This Row],[d (mm)]]*Table11234579[[#This Row],[pho (%)]])</f>
        <v>2.2371759514616656</v>
      </c>
      <c r="V4" s="111">
        <f>E4*224.8/(2*SQRT(Table11234579[[#This Row],[fc (Mpa)]]*145.037)*Table11234579[[#This Row],[b (mm)]]*Table11234579[[#This Row],[d (mm)]]*(1/25.4)^2)</f>
        <v>0.68757381601882805</v>
      </c>
      <c r="W4" s="111">
        <f>Table11234579[[#This Row],[M (KN.mm)]]/$G$7</f>
        <v>0.71813031161473084</v>
      </c>
      <c r="X4" s="111">
        <f t="shared" si="6"/>
        <v>0.68757381601882805</v>
      </c>
      <c r="Y4" s="111">
        <f t="shared" si="3"/>
        <v>2400</v>
      </c>
      <c r="Z4" s="111">
        <v>925</v>
      </c>
      <c r="AA4" s="111">
        <v>1000</v>
      </c>
      <c r="AB4" s="111">
        <v>300</v>
      </c>
      <c r="AC4" s="7">
        <v>64</v>
      </c>
      <c r="AD4" s="111">
        <f>Table11234579[[#This Row],[pho (%)]]*Table11234579[[#This Row],[b (mm)]]*Table11234579[[#This Row],[h (mm)]]/100</f>
        <v>2940</v>
      </c>
      <c r="AE4" s="111">
        <f t="shared" si="4"/>
        <v>0.98</v>
      </c>
      <c r="AF4" s="111">
        <v>525</v>
      </c>
      <c r="AG4" s="111">
        <f>(1/3-0.21*(MIN(Table11234579[[#This Row],[b (mm)]],AA4)/MAX(Table11234579[[#This Row],[b (mm)]],AA4))*(MIN(Table11234579[[#This Row],[b (mm)]],AA4)^4/(12*MAX(Table11234579[[#This Row],[b (mm)]],AA4)^4)))*MAX(Table11234579[[#This Row],[b (mm)]],AA4)*MIN(Table11234579[[#This Row],[b (mm)]],AA4)^3</f>
        <v>8998851825</v>
      </c>
      <c r="AH4" s="111">
        <f>Table11234579[[#This Row],[b (mm)]]*AA4^3/12</f>
        <v>25000000000</v>
      </c>
      <c r="AI4" s="111">
        <v>4800</v>
      </c>
      <c r="AJ4" s="138"/>
      <c r="AK4" s="126" t="s">
        <v>7</v>
      </c>
      <c r="AL4" s="107">
        <v>31.4</v>
      </c>
    </row>
    <row r="5" spans="1:39" x14ac:dyDescent="0.25">
      <c r="A5" s="143" t="s">
        <v>186</v>
      </c>
      <c r="B5" s="185">
        <v>4</v>
      </c>
      <c r="C5" s="185">
        <v>4</v>
      </c>
      <c r="D5" s="275">
        <f>Table11234579[[#This Row],[a (mm)]]/Table11234579[[#This Row],[d (mm)]]</f>
        <v>2.5945945945945947</v>
      </c>
      <c r="E5" s="275">
        <f>597/2</f>
        <v>298.5</v>
      </c>
      <c r="F5" s="137">
        <f>Table11234579[[#This Row],[d (mm)]]</f>
        <v>925</v>
      </c>
      <c r="G5" s="111">
        <f t="shared" si="5"/>
        <v>716400</v>
      </c>
      <c r="H5" s="111">
        <f t="shared" si="0"/>
        <v>1.0880601046422258E-6</v>
      </c>
      <c r="I5" s="111">
        <f>G5/(Table11234579[[#This Row],[b (mm)]]*Z5^2)</f>
        <v>2.7909422936449962E-3</v>
      </c>
      <c r="J5" s="111">
        <f t="shared" si="1"/>
        <v>0.50177290993617529</v>
      </c>
      <c r="K5" s="111">
        <f t="shared" si="2"/>
        <v>1.0563980396189701E-6</v>
      </c>
      <c r="L5" s="111">
        <f>E5/(Table11234579[[#This Row],[b (mm)]]*Z5)</f>
        <v>1.0756756756756757E-3</v>
      </c>
      <c r="M5" s="111">
        <f>Table11234579[[#This Row],[M (KN.mm)]]/(Table11234579[[#This Row],[b (mm)]]*Table11234579[[#This Row],[d (mm)]])</f>
        <v>2.5816216216216215</v>
      </c>
      <c r="N5" s="111">
        <f>Table11234579[[#This Row],[M (KN.mm)]]/(Table11234579[[#This Row],[b (mm)]]*Table11234579[[#This Row],[h (mm)]])</f>
        <v>2.3879999999999999</v>
      </c>
      <c r="O5" s="111">
        <f>Table11234579[[#This Row],[M (KN.mm)]]/(Table11234579[[#This Row],[b (mm)]]*Table11234579[[#This Row],[h (mm)]]*Table11234579[[#This Row],[L(mm)]])</f>
        <v>4.975E-4</v>
      </c>
      <c r="P5" s="111">
        <f>Table11234579[[#This Row],[M (KN.mm)]]/(Table11234579[[#This Row],[b (mm)]]*Table11234579[[#This Row],[d (mm)]]*Table11234579[[#This Row],[L(mm)]])</f>
        <v>5.3783783783783784E-4</v>
      </c>
      <c r="Q5" s="111">
        <f>Table11234579[[#This Row],[M (KN.mm)]]/(Table11234579[[#This Row],[b (mm)]]*Table11234579[[#This Row],[h (mm)]]*Table11234579[[#This Row],[L(mm)]]*Table11234579[[#This Row],[fc (Mpa)]])</f>
        <v>7.7734375000000001E-6</v>
      </c>
      <c r="R5" s="111">
        <f>Table11234579[[#This Row],[M (KN.mm)]]/(Table11234579[[#This Row],[b (mm)]]*Table11234579[[#This Row],[h (mm)]]*Table11234579[[#This Row],[L(mm)]]/2)</f>
        <v>9.9500000000000001E-4</v>
      </c>
      <c r="S5" s="111">
        <f>Table11234579[[#This Row],[M (KN.mm)]]/(Table11234579[[#This Row],[a (mm)]]*Table11234579[[#This Row],[b (mm)]]*Table11234579[[#This Row],[h (mm)]]*Table11234579[[#This Row],[L(mm)]]/2)</f>
        <v>4.1458333333333332E-7</v>
      </c>
      <c r="T5" s="111">
        <f>G5/($AL$5*AH5*0.001*Table11234579[[#This Row],[pho (%)]])</f>
        <v>1.1102654129002303E-6</v>
      </c>
      <c r="U5" s="111">
        <f>Table11234579[[#This Row],[M (KN.mm)]]/(Table11234579[[#This Row],[b (mm)]]*Table11234579[[#This Row],[d (mm)]]*Table11234579[[#This Row],[pho (%)]])</f>
        <v>2.6343077771649202</v>
      </c>
      <c r="V5" s="111">
        <f>E5*224.8/(2*SQRT(Table11234579[[#This Row],[fc (Mpa)]]*145.037)*Table11234579[[#This Row],[b (mm)]]*Table11234579[[#This Row],[d (mm)]]*(1/25.4)^2)</f>
        <v>0.80962833957246616</v>
      </c>
      <c r="W5" s="111">
        <f>Table11234579[[#This Row],[M (KN.mm)]]/$G$7</f>
        <v>0.84560906515580736</v>
      </c>
      <c r="X5" s="111">
        <f t="shared" si="6"/>
        <v>0.80962833957246616</v>
      </c>
      <c r="Y5" s="111">
        <f t="shared" si="3"/>
        <v>2400</v>
      </c>
      <c r="Z5" s="111">
        <v>925</v>
      </c>
      <c r="AA5" s="111">
        <v>1000</v>
      </c>
      <c r="AB5" s="111">
        <v>300</v>
      </c>
      <c r="AC5" s="7">
        <v>64</v>
      </c>
      <c r="AD5" s="111">
        <f>Table11234579[[#This Row],[pho (%)]]*Table11234579[[#This Row],[b (mm)]]*Table11234579[[#This Row],[h (mm)]]/100</f>
        <v>2940</v>
      </c>
      <c r="AE5" s="111">
        <f t="shared" si="4"/>
        <v>0.98</v>
      </c>
      <c r="AF5" s="111">
        <v>525</v>
      </c>
      <c r="AG5" s="111">
        <f>(1/3-0.21*(MIN(Table11234579[[#This Row],[b (mm)]],AA5)/MAX(Table11234579[[#This Row],[b (mm)]],AA5))*(MIN(Table11234579[[#This Row],[b (mm)]],AA5)^4/(12*MAX(Table11234579[[#This Row],[b (mm)]],AA5)^4)))*MAX(Table11234579[[#This Row],[b (mm)]],AA5)*MIN(Table11234579[[#This Row],[b (mm)]],AA5)^3</f>
        <v>8998851825</v>
      </c>
      <c r="AH5" s="111">
        <f>Table11234579[[#This Row],[b (mm)]]*AA5^3/12</f>
        <v>25000000000</v>
      </c>
      <c r="AI5" s="111">
        <v>4800</v>
      </c>
      <c r="AJ5" s="138"/>
      <c r="AK5" s="126" t="s">
        <v>8</v>
      </c>
      <c r="AL5" s="107">
        <f>4700*SQRT(AL4)</f>
        <v>26336.780365109171</v>
      </c>
    </row>
    <row r="6" spans="1:39" x14ac:dyDescent="0.25">
      <c r="A6" s="143" t="s">
        <v>186</v>
      </c>
      <c r="B6" s="185">
        <v>5</v>
      </c>
      <c r="C6" s="185">
        <v>5</v>
      </c>
      <c r="D6" s="275">
        <f>Table11234579[[#This Row],[a (mm)]]/Table11234579[[#This Row],[d (mm)]]</f>
        <v>2.5945945945945947</v>
      </c>
      <c r="E6" s="275">
        <f>678/2</f>
        <v>339</v>
      </c>
      <c r="F6" s="137">
        <f>Table11234579[[#This Row],[d (mm)]]</f>
        <v>925</v>
      </c>
      <c r="G6" s="111">
        <f t="shared" si="5"/>
        <v>813600</v>
      </c>
      <c r="H6" s="111">
        <f t="shared" si="0"/>
        <v>1.2356863499956936E-6</v>
      </c>
      <c r="I6" s="111">
        <f>G6/(Table11234579[[#This Row],[b (mm)]]*Z6^2)</f>
        <v>3.1696128560993425E-3</v>
      </c>
      <c r="J6" s="111">
        <f t="shared" si="1"/>
        <v>0.56985265148530451</v>
      </c>
      <c r="K6" s="111">
        <f t="shared" si="2"/>
        <v>1.199728426903956E-6</v>
      </c>
      <c r="L6" s="111">
        <f>E6/(Table11234579[[#This Row],[b (mm)]]*Z6)</f>
        <v>1.2216216216216216E-3</v>
      </c>
      <c r="M6" s="111">
        <f>Table11234579[[#This Row],[M (KN.mm)]]/(Table11234579[[#This Row],[b (mm)]]*Table11234579[[#This Row],[d (mm)]])</f>
        <v>2.9318918918918917</v>
      </c>
      <c r="N6" s="111">
        <f>Table11234579[[#This Row],[M (KN.mm)]]/(Table11234579[[#This Row],[b (mm)]]*Table11234579[[#This Row],[h (mm)]])</f>
        <v>2.7120000000000002</v>
      </c>
      <c r="O6" s="111">
        <f>Table11234579[[#This Row],[M (KN.mm)]]/(Table11234579[[#This Row],[b (mm)]]*Table11234579[[#This Row],[h (mm)]]*Table11234579[[#This Row],[L(mm)]])</f>
        <v>5.6499999999999996E-4</v>
      </c>
      <c r="P6" s="111">
        <f>Table11234579[[#This Row],[M (KN.mm)]]/(Table11234579[[#This Row],[b (mm)]]*Table11234579[[#This Row],[d (mm)]]*Table11234579[[#This Row],[L(mm)]])</f>
        <v>6.1081081081081079E-4</v>
      </c>
      <c r="Q6" s="111">
        <f>Table11234579[[#This Row],[M (KN.mm)]]/(Table11234579[[#This Row],[b (mm)]]*Table11234579[[#This Row],[h (mm)]]*Table11234579[[#This Row],[L(mm)]]*Table11234579[[#This Row],[fc (Mpa)]])</f>
        <v>8.8281249999999994E-6</v>
      </c>
      <c r="R6" s="111">
        <f>Table11234579[[#This Row],[M (KN.mm)]]/(Table11234579[[#This Row],[b (mm)]]*Table11234579[[#This Row],[h (mm)]]*Table11234579[[#This Row],[L(mm)]]/2)</f>
        <v>1.1299999999999999E-3</v>
      </c>
      <c r="S6" s="111">
        <f>Table11234579[[#This Row],[M (KN.mm)]]/(Table11234579[[#This Row],[a (mm)]]*Table11234579[[#This Row],[b (mm)]]*Table11234579[[#This Row],[h (mm)]]*Table11234579[[#This Row],[L(mm)]]/2)</f>
        <v>4.7083333333333331E-7</v>
      </c>
      <c r="T6" s="111">
        <f>G6/($AL$5*AH6*0.001*Table11234579[[#This Row],[pho (%)]])</f>
        <v>1.2609044387711158E-6</v>
      </c>
      <c r="U6" s="111">
        <f>Table11234579[[#This Row],[M (KN.mm)]]/(Table11234579[[#This Row],[b (mm)]]*Table11234579[[#This Row],[d (mm)]]*Table11234579[[#This Row],[pho (%)]])</f>
        <v>2.9917264202978489</v>
      </c>
      <c r="V6" s="111">
        <f>E6*224.8/(2*SQRT(Table11234579[[#This Row],[fc (Mpa)]]*145.037)*Table11234579[[#This Row],[b (mm)]]*Table11234579[[#This Row],[d (mm)]]*(1/25.4)^2)</f>
        <v>0.91947741077074041</v>
      </c>
      <c r="W6" s="111">
        <f>Table11234579[[#This Row],[M (KN.mm)]]/$G$7</f>
        <v>0.96033994334277617</v>
      </c>
      <c r="X6" s="111">
        <f t="shared" si="6"/>
        <v>0.91947741077074041</v>
      </c>
      <c r="Y6" s="111">
        <f t="shared" si="3"/>
        <v>2400</v>
      </c>
      <c r="Z6" s="111">
        <v>925</v>
      </c>
      <c r="AA6" s="111">
        <v>1000</v>
      </c>
      <c r="AB6" s="111">
        <v>300</v>
      </c>
      <c r="AC6" s="7">
        <v>64</v>
      </c>
      <c r="AD6" s="111">
        <f>Table11234579[[#This Row],[pho (%)]]*Table11234579[[#This Row],[b (mm)]]*Table11234579[[#This Row],[h (mm)]]/100</f>
        <v>2940</v>
      </c>
      <c r="AE6" s="111">
        <f t="shared" si="4"/>
        <v>0.98</v>
      </c>
      <c r="AF6" s="111">
        <v>525</v>
      </c>
      <c r="AG6" s="111">
        <f>(1/3-0.21*(MIN(Table11234579[[#This Row],[b (mm)]],AA6)/MAX(Table11234579[[#This Row],[b (mm)]],AA6))*(MIN(Table11234579[[#This Row],[b (mm)]],AA6)^4/(12*MAX(Table11234579[[#This Row],[b (mm)]],AA6)^4)))*MAX(Table11234579[[#This Row],[b (mm)]],AA6)*MIN(Table11234579[[#This Row],[b (mm)]],AA6)^3</f>
        <v>8998851825</v>
      </c>
      <c r="AH6" s="111">
        <f>Table11234579[[#This Row],[b (mm)]]*AA6^3/12</f>
        <v>25000000000</v>
      </c>
      <c r="AI6" s="111">
        <v>4800</v>
      </c>
      <c r="AJ6" s="138"/>
      <c r="AK6" s="126" t="s">
        <v>16</v>
      </c>
      <c r="AL6" s="107">
        <f>AL5/(2*(1+0.15))</f>
        <v>11450.774071786596</v>
      </c>
    </row>
    <row r="7" spans="1:39" x14ac:dyDescent="0.25">
      <c r="A7" s="143" t="s">
        <v>186</v>
      </c>
      <c r="B7" s="185" t="s">
        <v>141</v>
      </c>
      <c r="C7" s="185">
        <v>6</v>
      </c>
      <c r="D7" s="275">
        <f>Table11234579[[#This Row],[a (mm)]]/Table11234579[[#This Row],[d (mm)]]</f>
        <v>2.5945945945945947</v>
      </c>
      <c r="E7" s="275">
        <f>706/2</f>
        <v>353</v>
      </c>
      <c r="F7" s="137">
        <f>Table11234579[[#This Row],[d (mm)]]</f>
        <v>925</v>
      </c>
      <c r="G7" s="111">
        <f t="shared" si="5"/>
        <v>847200</v>
      </c>
      <c r="H7" s="111">
        <f t="shared" si="0"/>
        <v>1.2867176446857811E-6</v>
      </c>
      <c r="I7" s="111">
        <f>G7/(Table11234579[[#This Row],[b (mm)]]*Z7^2)</f>
        <v>3.3005113221329439E-3</v>
      </c>
      <c r="J7" s="111">
        <f t="shared" si="1"/>
        <v>0.59338638930475662</v>
      </c>
      <c r="K7" s="111">
        <f t="shared" si="2"/>
        <v>1.2492747336197537E-6</v>
      </c>
      <c r="L7" s="111">
        <f>E7/(Table11234579[[#This Row],[b (mm)]]*Z7)</f>
        <v>1.272072072072072E-3</v>
      </c>
      <c r="M7" s="111">
        <f>Table11234579[[#This Row],[M (KN.mm)]]/(Table11234579[[#This Row],[b (mm)]]*Table11234579[[#This Row],[d (mm)]])</f>
        <v>3.0529729729729729</v>
      </c>
      <c r="N7" s="111">
        <f>Table11234579[[#This Row],[M (KN.mm)]]/(Table11234579[[#This Row],[b (mm)]]*Table11234579[[#This Row],[h (mm)]])</f>
        <v>2.8239999999999998</v>
      </c>
      <c r="O7" s="111">
        <f>Table11234579[[#This Row],[M (KN.mm)]]/(Table11234579[[#This Row],[b (mm)]]*Table11234579[[#This Row],[h (mm)]]*Table11234579[[#This Row],[L(mm)]])</f>
        <v>5.8833333333333329E-4</v>
      </c>
      <c r="P7" s="111">
        <f>Table11234579[[#This Row],[M (KN.mm)]]/(Table11234579[[#This Row],[b (mm)]]*Table11234579[[#This Row],[d (mm)]]*Table11234579[[#This Row],[L(mm)]])</f>
        <v>6.3603603603603601E-4</v>
      </c>
      <c r="Q7" s="111">
        <f>Table11234579[[#This Row],[M (KN.mm)]]/(Table11234579[[#This Row],[b (mm)]]*Table11234579[[#This Row],[h (mm)]]*Table11234579[[#This Row],[L(mm)]]*Table11234579[[#This Row],[fc (Mpa)]])</f>
        <v>9.1927083333333326E-6</v>
      </c>
      <c r="R7" s="111">
        <f>Table11234579[[#This Row],[M (KN.mm)]]/(Table11234579[[#This Row],[b (mm)]]*Table11234579[[#This Row],[h (mm)]]*Table11234579[[#This Row],[L(mm)]]/2)</f>
        <v>1.1766666666666666E-3</v>
      </c>
      <c r="S7" s="111">
        <f>Table11234579[[#This Row],[M (KN.mm)]]/(Table11234579[[#This Row],[a (mm)]]*Table11234579[[#This Row],[b (mm)]]*Table11234579[[#This Row],[h (mm)]]*Table11234579[[#This Row],[L(mm)]]/2)</f>
        <v>4.9027777777777779E-7</v>
      </c>
      <c r="T7" s="111">
        <f>G7/($AL$5*AH7*0.001*Table11234579[[#This Row],[pho (%)]])</f>
        <v>1.3129771884548787E-6</v>
      </c>
      <c r="U7" s="111">
        <f>Table11234579[[#This Row],[M (KN.mm)]]/(Table11234579[[#This Row],[b (mm)]]*Table11234579[[#This Row],[d (mm)]]*Table11234579[[#This Row],[pho (%)]])</f>
        <v>3.1152785438499726</v>
      </c>
      <c r="V7" s="111">
        <f>E7*224.8/(2*SQRT(Table11234579[[#This Row],[fc (Mpa)]]*145.037)*Table11234579[[#This Row],[b (mm)]]*Table11234579[[#This Row],[d (mm)]]*(1/25.4)^2)</f>
        <v>0.95744992920965011</v>
      </c>
      <c r="W7" s="111">
        <f>Table11234579[[#This Row],[M (KN.mm)]]/$G$7</f>
        <v>1</v>
      </c>
      <c r="X7" s="111">
        <f t="shared" si="6"/>
        <v>0.95744992920965011</v>
      </c>
      <c r="Y7" s="111">
        <f t="shared" si="3"/>
        <v>2400</v>
      </c>
      <c r="Z7" s="111">
        <v>925</v>
      </c>
      <c r="AA7" s="111">
        <v>1000</v>
      </c>
      <c r="AB7" s="111">
        <v>300</v>
      </c>
      <c r="AC7" s="7">
        <v>64</v>
      </c>
      <c r="AD7" s="111">
        <f>Table11234579[[#This Row],[pho (%)]]*Table11234579[[#This Row],[b (mm)]]*Table11234579[[#This Row],[h (mm)]]/100</f>
        <v>2940</v>
      </c>
      <c r="AE7" s="111">
        <f t="shared" si="4"/>
        <v>0.98</v>
      </c>
      <c r="AF7" s="111">
        <v>525</v>
      </c>
      <c r="AG7" s="111">
        <f>(1/3-0.21*(MIN(Table11234579[[#This Row],[b (mm)]],AA7)/MAX(Table11234579[[#This Row],[b (mm)]],AA7))*(MIN(Table11234579[[#This Row],[b (mm)]],AA7)^4/(12*MAX(Table11234579[[#This Row],[b (mm)]],AA7)^4)))*MAX(Table11234579[[#This Row],[b (mm)]],AA7)*MIN(Table11234579[[#This Row],[b (mm)]],AA7)^3</f>
        <v>8998851825</v>
      </c>
      <c r="AH7" s="111">
        <f>Table11234579[[#This Row],[b (mm)]]*AA7^3/12</f>
        <v>25000000000</v>
      </c>
      <c r="AI7" s="111">
        <v>4800</v>
      </c>
      <c r="AJ7" s="138"/>
      <c r="AK7" s="107"/>
    </row>
    <row r="8" spans="1:39" x14ac:dyDescent="0.25">
      <c r="A8" s="276" t="s">
        <v>187</v>
      </c>
      <c r="B8" s="277">
        <v>1</v>
      </c>
      <c r="C8" s="277">
        <v>7</v>
      </c>
      <c r="D8" s="275">
        <f>Table11234579[[#This Row],[a (mm)]]/Table11234579[[#This Row],[d (mm)]]</f>
        <v>1.9459459459459461</v>
      </c>
      <c r="E8" s="278">
        <f>340.5/2</f>
        <v>170.25</v>
      </c>
      <c r="F8" s="137">
        <f>Table11234579[[#This Row],[d (mm)]]</f>
        <v>925</v>
      </c>
      <c r="G8" s="111">
        <f t="shared" si="5"/>
        <v>306450</v>
      </c>
      <c r="H8" s="111">
        <f t="shared" si="0"/>
        <v>4.6543274576718327E-7</v>
      </c>
      <c r="I8" s="111">
        <f>G8/(Table11234579[[#This Row],[b (mm)]]*Z8^2)</f>
        <v>1.1938641344046749E-3</v>
      </c>
      <c r="J8" s="111">
        <f t="shared" si="1"/>
        <v>0.21464029627294934</v>
      </c>
      <c r="K8" s="111">
        <f t="shared" si="2"/>
        <v>6.0251847988318152E-7</v>
      </c>
      <c r="L8" s="111">
        <f>E8/(Table11234579[[#This Row],[b (mm)]]*Z8)</f>
        <v>6.135135135135135E-4</v>
      </c>
      <c r="M8" s="111">
        <f>Table11234579[[#This Row],[M (KN.mm)]]/(Table11234579[[#This Row],[b (mm)]]*Table11234579[[#This Row],[d (mm)]])</f>
        <v>1.1043243243243244</v>
      </c>
      <c r="N8" s="111">
        <f>Table11234579[[#This Row],[M (KN.mm)]]/(Table11234579[[#This Row],[b (mm)]]*Table11234579[[#This Row],[h (mm)]])</f>
        <v>1.0215000000000001</v>
      </c>
      <c r="O8" s="111">
        <f>Table11234579[[#This Row],[M (KN.mm)]]/(Table11234579[[#This Row],[b (mm)]]*Table11234579[[#This Row],[h (mm)]]*Table11234579[[#This Row],[L(mm)]])</f>
        <v>2.8374999999999999E-4</v>
      </c>
      <c r="P8" s="111">
        <f>Table11234579[[#This Row],[M (KN.mm)]]/(Table11234579[[#This Row],[b (mm)]]*Table11234579[[#This Row],[d (mm)]]*Table11234579[[#This Row],[L(mm)]])</f>
        <v>3.0675675675675675E-4</v>
      </c>
      <c r="Q8" s="111">
        <f>Table11234579[[#This Row],[M (KN.mm)]]/(Table11234579[[#This Row],[b (mm)]]*Table11234579[[#This Row],[h (mm)]]*Table11234579[[#This Row],[L(mm)]]*Table11234579[[#This Row],[fc (Mpa)]])</f>
        <v>7.2756410256410255E-6</v>
      </c>
      <c r="R8" s="111">
        <f>Table11234579[[#This Row],[M (KN.mm)]]/(Table11234579[[#This Row],[b (mm)]]*Table11234579[[#This Row],[h (mm)]]*Table11234579[[#This Row],[L(mm)]]/2)</f>
        <v>5.6749999999999997E-4</v>
      </c>
      <c r="S8" s="111">
        <f>Table11234579[[#This Row],[M (KN.mm)]]/(Table11234579[[#This Row],[a (mm)]]*Table11234579[[#This Row],[b (mm)]]*Table11234579[[#This Row],[h (mm)]]*Table11234579[[#This Row],[L(mm)]]/2)</f>
        <v>3.1527777777777777E-7</v>
      </c>
      <c r="T8" s="111">
        <f>G8/($AL$5*AH8*0.001*Table11234579[[#This Row],[pho (%)]])</f>
        <v>4.7493137323181961E-7</v>
      </c>
      <c r="U8" s="111">
        <f>Table11234579[[#This Row],[M (KN.mm)]]/(Table11234579[[#This Row],[b (mm)]]*Table11234579[[#This Row],[d (mm)]]*Table11234579[[#This Row],[pho (%)]])</f>
        <v>1.1268615554329839</v>
      </c>
      <c r="V8" s="111">
        <f>E8*224.8/(2*SQRT(Table11234579[[#This Row],[fc (Mpa)]]*145.037)*Table11234579[[#This Row],[b (mm)]]*Table11234579[[#This Row],[d (mm)]]*(1/25.4)^2)</f>
        <v>0.59154279641149543</v>
      </c>
      <c r="W8" s="111">
        <f>Table11234579[[#This Row],[M (KN.mm)]]/$G$12</f>
        <v>0.21833921128566849</v>
      </c>
      <c r="X8" s="111">
        <f t="shared" si="6"/>
        <v>0.59154279641149543</v>
      </c>
      <c r="Y8" s="111">
        <v>1800</v>
      </c>
      <c r="Z8" s="111">
        <v>925</v>
      </c>
      <c r="AA8" s="111">
        <v>1000</v>
      </c>
      <c r="AB8" s="111">
        <v>300</v>
      </c>
      <c r="AC8" s="7">
        <v>39</v>
      </c>
      <c r="AD8" s="111">
        <f>Table11234579[[#This Row],[pho (%)]]*Table11234579[[#This Row],[b (mm)]]*Table11234579[[#This Row],[h (mm)]]/100</f>
        <v>2940</v>
      </c>
      <c r="AE8" s="111">
        <f t="shared" si="4"/>
        <v>0.98</v>
      </c>
      <c r="AF8" s="111">
        <v>525</v>
      </c>
      <c r="AG8" s="111">
        <f>(1/3-0.21*(MIN(Table11234579[[#This Row],[b (mm)]],AA8)/MAX(Table11234579[[#This Row],[b (mm)]],AA8))*(MIN(Table11234579[[#This Row],[b (mm)]],AA8)^4/(12*MAX(Table11234579[[#This Row],[b (mm)]],AA8)^4)))*MAX(Table11234579[[#This Row],[b (mm)]],AA8)*MIN(Table11234579[[#This Row],[b (mm)]],AA8)^3</f>
        <v>8998851825</v>
      </c>
      <c r="AH8" s="111">
        <f>Table11234579[[#This Row],[b (mm)]]*AA8^3/12</f>
        <v>25000000000</v>
      </c>
      <c r="AI8" s="111">
        <v>3600</v>
      </c>
      <c r="AJ8" s="138"/>
      <c r="AK8" s="107"/>
    </row>
    <row r="9" spans="1:39" x14ac:dyDescent="0.25">
      <c r="A9" s="276" t="s">
        <v>187</v>
      </c>
      <c r="B9" s="277">
        <v>2</v>
      </c>
      <c r="C9" s="277">
        <v>8</v>
      </c>
      <c r="D9" s="275">
        <f>Table11234579[[#This Row],[a (mm)]]/Table11234579[[#This Row],[d (mm)]]</f>
        <v>1.9459459459459461</v>
      </c>
      <c r="E9" s="278">
        <f>678.5/2</f>
        <v>339.25</v>
      </c>
      <c r="F9" s="137">
        <f>Table11234579[[#This Row],[d (mm)]]</f>
        <v>925</v>
      </c>
      <c r="G9" s="111">
        <f t="shared" si="5"/>
        <v>610650</v>
      </c>
      <c r="H9" s="111">
        <f t="shared" si="0"/>
        <v>9.274482173363696E-7</v>
      </c>
      <c r="I9" s="111">
        <f>G9/(Table11234579[[#This Row],[b (mm)]]*Z9^2)</f>
        <v>2.3789627465303142E-3</v>
      </c>
      <c r="J9" s="111">
        <f t="shared" si="1"/>
        <v>0.42770467260263179</v>
      </c>
      <c r="K9" s="111">
        <f t="shared" si="2"/>
        <v>1.200613182381024E-6</v>
      </c>
      <c r="L9" s="111">
        <f>E9/(Table11234579[[#This Row],[b (mm)]]*Z9)</f>
        <v>1.2225225225225226E-3</v>
      </c>
      <c r="M9" s="111">
        <f>Table11234579[[#This Row],[M (KN.mm)]]/(Table11234579[[#This Row],[b (mm)]]*Table11234579[[#This Row],[d (mm)]])</f>
        <v>2.2005405405405405</v>
      </c>
      <c r="N9" s="111">
        <f>Table11234579[[#This Row],[M (KN.mm)]]/(Table11234579[[#This Row],[b (mm)]]*Table11234579[[#This Row],[h (mm)]])</f>
        <v>2.0354999999999999</v>
      </c>
      <c r="O9" s="111">
        <f>Table11234579[[#This Row],[M (KN.mm)]]/(Table11234579[[#This Row],[b (mm)]]*Table11234579[[#This Row],[h (mm)]]*Table11234579[[#This Row],[L(mm)]])</f>
        <v>5.6541666666666665E-4</v>
      </c>
      <c r="P9" s="111">
        <f>Table11234579[[#This Row],[M (KN.mm)]]/(Table11234579[[#This Row],[b (mm)]]*Table11234579[[#This Row],[d (mm)]]*Table11234579[[#This Row],[L(mm)]])</f>
        <v>6.1126126126126131E-4</v>
      </c>
      <c r="Q9" s="111">
        <f>Table11234579[[#This Row],[M (KN.mm)]]/(Table11234579[[#This Row],[b (mm)]]*Table11234579[[#This Row],[h (mm)]]*Table11234579[[#This Row],[L(mm)]]*Table11234579[[#This Row],[fc (Mpa)]])</f>
        <v>1.4497863247863248E-5</v>
      </c>
      <c r="R9" s="111">
        <f>Table11234579[[#This Row],[M (KN.mm)]]/(Table11234579[[#This Row],[b (mm)]]*Table11234579[[#This Row],[h (mm)]]*Table11234579[[#This Row],[L(mm)]]/2)</f>
        <v>1.1308333333333333E-3</v>
      </c>
      <c r="S9" s="111">
        <f>Table11234579[[#This Row],[M (KN.mm)]]/(Table11234579[[#This Row],[a (mm)]]*Table11234579[[#This Row],[b (mm)]]*Table11234579[[#This Row],[h (mm)]]*Table11234579[[#This Row],[L(mm)]]/2)</f>
        <v>6.2824074074074075E-7</v>
      </c>
      <c r="T9" s="111">
        <f>G9/($AL$5*AH9*0.001*Table11234579[[#This Row],[pho (%)]])</f>
        <v>9.4637573197588731E-7</v>
      </c>
      <c r="U9" s="111">
        <f>Table11234579[[#This Row],[M (KN.mm)]]/(Table11234579[[#This Row],[b (mm)]]*Table11234579[[#This Row],[d (mm)]]*Table11234579[[#This Row],[pho (%)]])</f>
        <v>2.2454495311638167</v>
      </c>
      <c r="V9" s="111">
        <f>E9*224.8/(2*SQRT(Table11234579[[#This Row],[fc (Mpa)]]*145.037)*Table11234579[[#This Row],[b (mm)]]*Table11234579[[#This Row],[d (mm)]]*(1/25.4)^2)</f>
        <v>1.1787424004851679</v>
      </c>
      <c r="W9" s="111">
        <f>Table11234579[[#This Row],[M (KN.mm)]]/$G$12</f>
        <v>0.43507534466175057</v>
      </c>
      <c r="X9" s="111">
        <f t="shared" si="6"/>
        <v>1.1787424004851679</v>
      </c>
      <c r="Y9" s="111">
        <v>1800</v>
      </c>
      <c r="Z9" s="111">
        <v>925</v>
      </c>
      <c r="AA9" s="111">
        <v>1000</v>
      </c>
      <c r="AB9" s="111">
        <v>300</v>
      </c>
      <c r="AC9" s="7">
        <v>39</v>
      </c>
      <c r="AD9" s="111">
        <f>Table11234579[[#This Row],[pho (%)]]*Table11234579[[#This Row],[b (mm)]]*Table11234579[[#This Row],[h (mm)]]/100</f>
        <v>2940</v>
      </c>
      <c r="AE9" s="111">
        <f t="shared" si="4"/>
        <v>0.98</v>
      </c>
      <c r="AF9" s="111">
        <v>525</v>
      </c>
      <c r="AG9" s="111">
        <f>(1/3-0.21*(MIN(Table11234579[[#This Row],[b (mm)]],AA9)/MAX(Table11234579[[#This Row],[b (mm)]],AA9))*(MIN(Table11234579[[#This Row],[b (mm)]],AA9)^4/(12*MAX(Table11234579[[#This Row],[b (mm)]],AA9)^4)))*MAX(Table11234579[[#This Row],[b (mm)]],AA9)*MIN(Table11234579[[#This Row],[b (mm)]],AA9)^3</f>
        <v>8998851825</v>
      </c>
      <c r="AH9" s="111">
        <f>Table11234579[[#This Row],[b (mm)]]*AA9^3/12</f>
        <v>25000000000</v>
      </c>
      <c r="AI9" s="111">
        <v>3600</v>
      </c>
      <c r="AJ9" s="138"/>
      <c r="AK9" s="107"/>
    </row>
    <row r="10" spans="1:39" ht="12.75" customHeight="1" x14ac:dyDescent="0.25">
      <c r="A10" s="276" t="s">
        <v>187</v>
      </c>
      <c r="B10" s="277">
        <v>3</v>
      </c>
      <c r="C10" s="277">
        <v>9</v>
      </c>
      <c r="D10" s="275">
        <f>Table11234579[[#This Row],[a (mm)]]/Table11234579[[#This Row],[d (mm)]]</f>
        <v>1.9459459459459461</v>
      </c>
      <c r="E10" s="278">
        <f>889/2</f>
        <v>444.5</v>
      </c>
      <c r="F10" s="137">
        <f>Table11234579[[#This Row],[d (mm)]]</f>
        <v>925</v>
      </c>
      <c r="G10" s="111">
        <f t="shared" si="5"/>
        <v>800100</v>
      </c>
      <c r="H10" s="111">
        <f t="shared" si="0"/>
        <v>1.215182704807712E-6</v>
      </c>
      <c r="I10" s="111">
        <f>G10/(Table11234579[[#This Row],[b (mm)]]*Z10^2)</f>
        <v>3.1170197224251279E-3</v>
      </c>
      <c r="J10" s="111">
        <f t="shared" si="1"/>
        <v>0.56039713182570328</v>
      </c>
      <c r="K10" s="111">
        <f t="shared" si="2"/>
        <v>1.5730952382265736E-6</v>
      </c>
      <c r="L10" s="111">
        <f>E10/(Table11234579[[#This Row],[b (mm)]]*Z10)</f>
        <v>1.6018018018018017E-3</v>
      </c>
      <c r="M10" s="111">
        <f>Table11234579[[#This Row],[M (KN.mm)]]/(Table11234579[[#This Row],[b (mm)]]*Table11234579[[#This Row],[d (mm)]])</f>
        <v>2.8832432432432431</v>
      </c>
      <c r="N10" s="111">
        <f>Table11234579[[#This Row],[M (KN.mm)]]/(Table11234579[[#This Row],[b (mm)]]*Table11234579[[#This Row],[h (mm)]])</f>
        <v>2.6669999999999998</v>
      </c>
      <c r="O10" s="111">
        <f>Table11234579[[#This Row],[M (KN.mm)]]/(Table11234579[[#This Row],[b (mm)]]*Table11234579[[#This Row],[h (mm)]]*Table11234579[[#This Row],[L(mm)]])</f>
        <v>7.4083333333333336E-4</v>
      </c>
      <c r="P10" s="111">
        <f>Table11234579[[#This Row],[M (KN.mm)]]/(Table11234579[[#This Row],[b (mm)]]*Table11234579[[#This Row],[d (mm)]]*Table11234579[[#This Row],[L(mm)]])</f>
        <v>8.0090090090090087E-4</v>
      </c>
      <c r="Q10" s="111">
        <f>Table11234579[[#This Row],[M (KN.mm)]]/(Table11234579[[#This Row],[b (mm)]]*Table11234579[[#This Row],[h (mm)]]*Table11234579[[#This Row],[L(mm)]]*Table11234579[[#This Row],[fc (Mpa)]])</f>
        <v>1.8995726495726496E-5</v>
      </c>
      <c r="R10" s="111">
        <f>Table11234579[[#This Row],[M (KN.mm)]]/(Table11234579[[#This Row],[b (mm)]]*Table11234579[[#This Row],[h (mm)]]*Table11234579[[#This Row],[L(mm)]]/2)</f>
        <v>1.4816666666666667E-3</v>
      </c>
      <c r="S10" s="111">
        <f>Table11234579[[#This Row],[M (KN.mm)]]/(Table11234579[[#This Row],[a (mm)]]*Table11234579[[#This Row],[b (mm)]]*Table11234579[[#This Row],[h (mm)]]*Table11234579[[#This Row],[L(mm)]]/2)</f>
        <v>8.2314814814814814E-7</v>
      </c>
      <c r="T10" s="111">
        <f>G10/($AL$5*AH10*0.001*Table11234579[[#This Row],[pho (%)]])</f>
        <v>1.2399823518446039E-6</v>
      </c>
      <c r="U10" s="111">
        <f>Table11234579[[#This Row],[M (KN.mm)]]/(Table11234579[[#This Row],[b (mm)]]*Table11234579[[#This Row],[d (mm)]]*Table11234579[[#This Row],[pho (%)]])</f>
        <v>2.942084942084942</v>
      </c>
      <c r="V10" s="111">
        <f>E10*224.8/(2*SQRT(Table11234579[[#This Row],[fc (Mpa)]]*145.037)*Table11234579[[#This Row],[b (mm)]]*Table11234579[[#This Row],[d (mm)]]*(1/25.4)^2)</f>
        <v>1.5444391953298662</v>
      </c>
      <c r="W10" s="111">
        <f>Table11234579[[#This Row],[M (KN.mm)]]/$G$12</f>
        <v>0.57005450464892593</v>
      </c>
      <c r="X10" s="111">
        <f t="shared" si="6"/>
        <v>1.5444391953298662</v>
      </c>
      <c r="Y10" s="111">
        <v>1800</v>
      </c>
      <c r="Z10" s="111">
        <v>925</v>
      </c>
      <c r="AA10" s="111">
        <v>1000</v>
      </c>
      <c r="AB10" s="111">
        <v>300</v>
      </c>
      <c r="AC10" s="7">
        <v>39</v>
      </c>
      <c r="AD10" s="111">
        <f>Table11234579[[#This Row],[pho (%)]]*Table11234579[[#This Row],[b (mm)]]*Table11234579[[#This Row],[h (mm)]]/100</f>
        <v>2940</v>
      </c>
      <c r="AE10" s="111">
        <f t="shared" si="4"/>
        <v>0.98</v>
      </c>
      <c r="AF10" s="111">
        <v>525</v>
      </c>
      <c r="AG10" s="111">
        <f>(1/3-0.21*(MIN(Table11234579[[#This Row],[b (mm)]],AA10)/MAX(Table11234579[[#This Row],[b (mm)]],AA10))*(MIN(Table11234579[[#This Row],[b (mm)]],AA10)^4/(12*MAX(Table11234579[[#This Row],[b (mm)]],AA10)^4)))*MAX(Table11234579[[#This Row],[b (mm)]],AA10)*MIN(Table11234579[[#This Row],[b (mm)]],AA10)^3</f>
        <v>8998851825</v>
      </c>
      <c r="AH10" s="111">
        <f>Table11234579[[#This Row],[b (mm)]]*AA10^3/12</f>
        <v>25000000000</v>
      </c>
      <c r="AI10" s="111">
        <v>3600</v>
      </c>
      <c r="AJ10" s="138"/>
      <c r="AK10" s="107"/>
    </row>
    <row r="11" spans="1:39" x14ac:dyDescent="0.25">
      <c r="A11" s="276" t="s">
        <v>187</v>
      </c>
      <c r="B11" s="277">
        <v>4</v>
      </c>
      <c r="C11" s="277">
        <v>10</v>
      </c>
      <c r="D11" s="275">
        <f>Table11234579[[#This Row],[a (mm)]]/Table11234579[[#This Row],[d (mm)]]</f>
        <v>1.9459459459459461</v>
      </c>
      <c r="E11" s="278">
        <f>1202/2</f>
        <v>601</v>
      </c>
      <c r="F11" s="137">
        <f>Table11234579[[#This Row],[d (mm)]]</f>
        <v>925</v>
      </c>
      <c r="G11" s="111">
        <f t="shared" si="5"/>
        <v>1081800</v>
      </c>
      <c r="H11" s="111">
        <f t="shared" si="0"/>
        <v>1.6430254343969289E-6</v>
      </c>
      <c r="I11" s="111">
        <f>G11/(Table11234579[[#This Row],[b (mm)]]*Z11^2)</f>
        <v>4.214463111760409E-3</v>
      </c>
      <c r="J11" s="111">
        <f t="shared" si="1"/>
        <v>0.75770230872271693</v>
      </c>
      <c r="K11" s="111">
        <f t="shared" si="2"/>
        <v>2.1269521668710252E-6</v>
      </c>
      <c r="L11" s="111">
        <f>E11/(Table11234579[[#This Row],[b (mm)]]*Z11)</f>
        <v>2.165765765765766E-3</v>
      </c>
      <c r="M11" s="111">
        <f>Table11234579[[#This Row],[M (KN.mm)]]/(Table11234579[[#This Row],[b (mm)]]*Table11234579[[#This Row],[d (mm)]])</f>
        <v>3.8983783783783785</v>
      </c>
      <c r="N11" s="111">
        <f>Table11234579[[#This Row],[M (KN.mm)]]/(Table11234579[[#This Row],[b (mm)]]*Table11234579[[#This Row],[h (mm)]])</f>
        <v>3.6059999999999999</v>
      </c>
      <c r="O11" s="111">
        <f>Table11234579[[#This Row],[M (KN.mm)]]/(Table11234579[[#This Row],[b (mm)]]*Table11234579[[#This Row],[h (mm)]]*Table11234579[[#This Row],[L(mm)]])</f>
        <v>1.0016666666666668E-3</v>
      </c>
      <c r="P11" s="111">
        <f>Table11234579[[#This Row],[M (KN.mm)]]/(Table11234579[[#This Row],[b (mm)]]*Table11234579[[#This Row],[d (mm)]]*Table11234579[[#This Row],[L(mm)]])</f>
        <v>1.082882882882883E-3</v>
      </c>
      <c r="Q11" s="111">
        <f>Table11234579[[#This Row],[M (KN.mm)]]/(Table11234579[[#This Row],[b (mm)]]*Table11234579[[#This Row],[h (mm)]]*Table11234579[[#This Row],[L(mm)]]*Table11234579[[#This Row],[fc (Mpa)]])</f>
        <v>2.5683760683760682E-5</v>
      </c>
      <c r="R11" s="111">
        <f>Table11234579[[#This Row],[M (KN.mm)]]/(Table11234579[[#This Row],[b (mm)]]*Table11234579[[#This Row],[h (mm)]]*Table11234579[[#This Row],[L(mm)]]/2)</f>
        <v>2.0033333333333335E-3</v>
      </c>
      <c r="S11" s="111">
        <f>Table11234579[[#This Row],[M (KN.mm)]]/(Table11234579[[#This Row],[a (mm)]]*Table11234579[[#This Row],[b (mm)]]*Table11234579[[#This Row],[h (mm)]]*Table11234579[[#This Row],[L(mm)]]/2)</f>
        <v>1.112962962962963E-6</v>
      </c>
      <c r="T11" s="111">
        <f>G11/($AL$5*AH11*0.001*Table11234579[[#This Row],[pho (%)]])</f>
        <v>1.6765565657111518E-6</v>
      </c>
      <c r="U11" s="111">
        <f>Table11234579[[#This Row],[M (KN.mm)]]/(Table11234579[[#This Row],[b (mm)]]*Table11234579[[#This Row],[d (mm)]]*Table11234579[[#This Row],[pho (%)]])</f>
        <v>3.9779371207942638</v>
      </c>
      <c r="V11" s="111">
        <f>E11*224.8/(2*SQRT(Table11234579[[#This Row],[fc (Mpa)]]*145.037)*Table11234579[[#This Row],[b (mm)]]*Table11234579[[#This Row],[d (mm)]]*(1/25.4)^2)</f>
        <v>2.0882068760253087</v>
      </c>
      <c r="W11" s="111">
        <f>Table11234579[[#This Row],[M (KN.mm)]]/$G$12</f>
        <v>0.770759858929144</v>
      </c>
      <c r="X11" s="111">
        <f t="shared" si="6"/>
        <v>2.0882068760253087</v>
      </c>
      <c r="Y11" s="111">
        <v>1800</v>
      </c>
      <c r="Z11" s="111">
        <v>925</v>
      </c>
      <c r="AA11" s="111">
        <v>1000</v>
      </c>
      <c r="AB11" s="111">
        <v>300</v>
      </c>
      <c r="AC11" s="7">
        <v>39</v>
      </c>
      <c r="AD11" s="111">
        <f>Table11234579[[#This Row],[pho (%)]]*Table11234579[[#This Row],[b (mm)]]*Table11234579[[#This Row],[h (mm)]]/100</f>
        <v>2940</v>
      </c>
      <c r="AE11" s="111">
        <f t="shared" si="4"/>
        <v>0.98</v>
      </c>
      <c r="AF11" s="111">
        <v>525</v>
      </c>
      <c r="AG11" s="111">
        <f>(1/3-0.21*(MIN(Table11234579[[#This Row],[b (mm)]],AA11)/MAX(Table11234579[[#This Row],[b (mm)]],AA11))*(MIN(Table11234579[[#This Row],[b (mm)]],AA11)^4/(12*MAX(Table11234579[[#This Row],[b (mm)]],AA11)^4)))*MAX(Table11234579[[#This Row],[b (mm)]],AA11)*MIN(Table11234579[[#This Row],[b (mm)]],AA11)^3</f>
        <v>8998851825</v>
      </c>
      <c r="AH11" s="111">
        <f>Table11234579[[#This Row],[b (mm)]]*AA11^3/12</f>
        <v>25000000000</v>
      </c>
      <c r="AI11" s="111">
        <v>3600</v>
      </c>
      <c r="AJ11" s="138"/>
      <c r="AK11" s="107"/>
    </row>
    <row r="12" spans="1:39" ht="17.25" customHeight="1" x14ac:dyDescent="0.25">
      <c r="A12" s="276" t="s">
        <v>187</v>
      </c>
      <c r="B12" s="277" t="s">
        <v>141</v>
      </c>
      <c r="C12" s="277">
        <v>11</v>
      </c>
      <c r="D12" s="275">
        <f>Table11234579[[#This Row],[a (mm)]]/Table11234579[[#This Row],[d (mm)]]</f>
        <v>1.9459459459459461</v>
      </c>
      <c r="E12" s="278">
        <f>1559.5/2</f>
        <v>779.75</v>
      </c>
      <c r="F12" s="137">
        <f>Table11234579[[#This Row],[d (mm)]]</f>
        <v>925</v>
      </c>
      <c r="G12" s="111">
        <f t="shared" si="5"/>
        <v>1403550</v>
      </c>
      <c r="H12" s="111">
        <f t="shared" si="0"/>
        <v>2.1316956447104914E-6</v>
      </c>
      <c r="I12" s="111">
        <f>G12/(Table11234579[[#This Row],[b (mm)]]*Z12^2)</f>
        <v>5.4679327976625272E-3</v>
      </c>
      <c r="J12" s="111">
        <f t="shared" si="1"/>
        <v>0.98305886060988101</v>
      </c>
      <c r="K12" s="111">
        <f t="shared" si="2"/>
        <v>2.7595523329745124E-6</v>
      </c>
      <c r="L12" s="111">
        <f>E12/(Table11234579[[#This Row],[b (mm)]]*Z12)</f>
        <v>2.8099099099099098E-3</v>
      </c>
      <c r="M12" s="111">
        <f>Table11234579[[#This Row],[M (KN.mm)]]/(Table11234579[[#This Row],[b (mm)]]*Table11234579[[#This Row],[d (mm)]])</f>
        <v>5.0578378378378375</v>
      </c>
      <c r="N12" s="111">
        <f>Table11234579[[#This Row],[M (KN.mm)]]/(Table11234579[[#This Row],[b (mm)]]*Table11234579[[#This Row],[h (mm)]])</f>
        <v>4.6784999999999997</v>
      </c>
      <c r="O12" s="111">
        <f>Table11234579[[#This Row],[M (KN.mm)]]/(Table11234579[[#This Row],[b (mm)]]*Table11234579[[#This Row],[h (mm)]]*Table11234579[[#This Row],[L(mm)]])</f>
        <v>1.2995833333333334E-3</v>
      </c>
      <c r="P12" s="111">
        <f>Table11234579[[#This Row],[M (KN.mm)]]/(Table11234579[[#This Row],[b (mm)]]*Table11234579[[#This Row],[d (mm)]]*Table11234579[[#This Row],[L(mm)]])</f>
        <v>1.4049549549549549E-3</v>
      </c>
      <c r="Q12" s="111">
        <f>Table11234579[[#This Row],[M (KN.mm)]]/(Table11234579[[#This Row],[b (mm)]]*Table11234579[[#This Row],[h (mm)]]*Table11234579[[#This Row],[L(mm)]]*Table11234579[[#This Row],[fc (Mpa)]])</f>
        <v>3.3322649572649573E-5</v>
      </c>
      <c r="R12" s="111">
        <f>Table11234579[[#This Row],[M (KN.mm)]]/(Table11234579[[#This Row],[b (mm)]]*Table11234579[[#This Row],[h (mm)]]*Table11234579[[#This Row],[L(mm)]]/2)</f>
        <v>2.5991666666666667E-3</v>
      </c>
      <c r="S12" s="111">
        <f>Table11234579[[#This Row],[M (KN.mm)]]/(Table11234579[[#This Row],[a (mm)]]*Table11234579[[#This Row],[b (mm)]]*Table11234579[[#This Row],[h (mm)]]*Table11234579[[#This Row],[L(mm)]]/2)</f>
        <v>1.4439814814814814E-6</v>
      </c>
      <c r="T12" s="111">
        <f>G12/($AL$5*AH12*0.001*Table11234579[[#This Row],[pho (%)]])</f>
        <v>2.175199637459685E-6</v>
      </c>
      <c r="U12" s="111">
        <f>Table11234579[[#This Row],[M (KN.mm)]]/(Table11234579[[#This Row],[b (mm)]]*Table11234579[[#This Row],[d (mm)]]*Table11234579[[#This Row],[pho (%)]])</f>
        <v>5.1610590182018754</v>
      </c>
      <c r="V12" s="111">
        <f>E12*224.8/(2*SQRT(Table11234579[[#This Row],[fc (Mpa)]]*145.037)*Table11234579[[#This Row],[b (mm)]]*Table11234579[[#This Row],[d (mm)]]*(1/25.4)^2)</f>
        <v>2.7092833803340004</v>
      </c>
      <c r="W12" s="111">
        <f>Table11234579[[#This Row],[M (KN.mm)]]/$G$12</f>
        <v>1</v>
      </c>
      <c r="X12" s="111">
        <f t="shared" si="6"/>
        <v>2.7092833803340004</v>
      </c>
      <c r="Y12" s="111">
        <v>1800</v>
      </c>
      <c r="Z12" s="111">
        <v>925</v>
      </c>
      <c r="AA12" s="111">
        <v>1000</v>
      </c>
      <c r="AB12" s="111">
        <v>300</v>
      </c>
      <c r="AC12" s="7">
        <v>39</v>
      </c>
      <c r="AD12" s="111">
        <f>Table11234579[[#This Row],[pho (%)]]*Table11234579[[#This Row],[b (mm)]]*Table11234579[[#This Row],[h (mm)]]/100</f>
        <v>2940</v>
      </c>
      <c r="AE12" s="111">
        <f t="shared" si="4"/>
        <v>0.98</v>
      </c>
      <c r="AF12" s="111">
        <v>525</v>
      </c>
      <c r="AG12" s="111">
        <f>(1/3-0.21*(MIN(Table11234579[[#This Row],[b (mm)]],AA12)/MAX(Table11234579[[#This Row],[b (mm)]],AA12))*(MIN(Table11234579[[#This Row],[b (mm)]],AA12)^4/(12*MAX(Table11234579[[#This Row],[b (mm)]],AA12)^4)))*MAX(Table11234579[[#This Row],[b (mm)]],AA12)*MIN(Table11234579[[#This Row],[b (mm)]],AA12)^3</f>
        <v>8998851825</v>
      </c>
      <c r="AH12" s="111">
        <f>Table11234579[[#This Row],[b (mm)]]*AA12^3/12</f>
        <v>25000000000</v>
      </c>
      <c r="AI12" s="111">
        <v>3600</v>
      </c>
      <c r="AJ12" s="138"/>
      <c r="AK12" s="107"/>
    </row>
    <row r="13" spans="1:39" x14ac:dyDescent="0.25">
      <c r="A13" s="319" t="s">
        <v>188</v>
      </c>
      <c r="B13" s="320">
        <v>1</v>
      </c>
      <c r="C13" s="320">
        <v>12</v>
      </c>
      <c r="D13" s="321">
        <f>Table11234579[[#This Row],[a (mm)]]/Table11234579[[#This Row],[d (mm)]]</f>
        <v>1.9459459459459461</v>
      </c>
      <c r="E13" s="322">
        <f>419/2</f>
        <v>209.5</v>
      </c>
      <c r="F13" s="137">
        <f>Table11234579[[#This Row],[d (mm)]]</f>
        <v>925</v>
      </c>
      <c r="G13" s="111">
        <f t="shared" si="5"/>
        <v>377100</v>
      </c>
      <c r="H13" s="111">
        <f t="shared" si="0"/>
        <v>5.7273515558428722E-7</v>
      </c>
      <c r="I13" s="111">
        <f>G13/(Table11234579[[#This Row],[b (mm)]]*Z13^2)</f>
        <v>1.4691015339663989E-3</v>
      </c>
      <c r="J13" s="111">
        <f t="shared" si="1"/>
        <v>0.26412418249152941</v>
      </c>
      <c r="K13" s="111">
        <f t="shared" si="2"/>
        <v>7.4142508978282834E-7</v>
      </c>
      <c r="L13" s="111">
        <f>E13/(Table11234579[[#This Row],[b (mm)]]*Z13)</f>
        <v>7.5495495495495491E-4</v>
      </c>
      <c r="M13" s="111">
        <f>Table11234579[[#This Row],[M (KN.mm)]]/(Table11234579[[#This Row],[b (mm)]]*Table11234579[[#This Row],[d (mm)]])</f>
        <v>1.358918918918919</v>
      </c>
      <c r="N13" s="111">
        <f>Table11234579[[#This Row],[M (KN.mm)]]/(Table11234579[[#This Row],[b (mm)]]*Table11234579[[#This Row],[h (mm)]])</f>
        <v>1.2569999999999999</v>
      </c>
      <c r="O13" s="111">
        <f>Table11234579[[#This Row],[M (KN.mm)]]/(Table11234579[[#This Row],[b (mm)]]*Table11234579[[#This Row],[h (mm)]]*Table11234579[[#This Row],[L(mm)]])</f>
        <v>3.4916666666666668E-4</v>
      </c>
      <c r="P13" s="111">
        <f>Table11234579[[#This Row],[M (KN.mm)]]/(Table11234579[[#This Row],[b (mm)]]*Table11234579[[#This Row],[d (mm)]]*Table11234579[[#This Row],[L(mm)]])</f>
        <v>3.7747747747747746E-4</v>
      </c>
      <c r="Q13" s="111">
        <f>Table11234579[[#This Row],[M (KN.mm)]]/(Table11234579[[#This Row],[b (mm)]]*Table11234579[[#This Row],[h (mm)]]*Table11234579[[#This Row],[L(mm)]]*Table11234579[[#This Row],[fc (Mpa)]])</f>
        <v>7.7592592592592599E-6</v>
      </c>
      <c r="R13" s="111">
        <f>Table11234579[[#This Row],[M (KN.mm)]]/(Table11234579[[#This Row],[b (mm)]]*Table11234579[[#This Row],[h (mm)]]*Table11234579[[#This Row],[L(mm)]]/2)</f>
        <v>6.9833333333333336E-4</v>
      </c>
      <c r="S13" s="111">
        <f>Table11234579[[#This Row],[M (KN.mm)]]/(Table11234579[[#This Row],[a (mm)]]*Table11234579[[#This Row],[b (mm)]]*Table11234579[[#This Row],[h (mm)]]*Table11234579[[#This Row],[L(mm)]]/2)</f>
        <v>3.8796296296296294E-7</v>
      </c>
      <c r="T13" s="111">
        <f>G13/($AL$5*AH13*0.001*Table11234579[[#This Row],[pho (%)]])</f>
        <v>5.8442362814723182E-7</v>
      </c>
      <c r="U13" s="111">
        <f>Table11234579[[#This Row],[M (KN.mm)]]/(Table11234579[[#This Row],[b (mm)]]*Table11234579[[#This Row],[d (mm)]]*Table11234579[[#This Row],[pho (%)]])</f>
        <v>1.3866519580805294</v>
      </c>
      <c r="V13" s="111">
        <f>E13*224.8/(2*SQRT(Table11234579[[#This Row],[fc (Mpa)]]*145.037)*Table11234579[[#This Row],[b (mm)]]*Table11234579[[#This Row],[d (mm)]]*(1/25.4)^2)</f>
        <v>0.67765574324048594</v>
      </c>
      <c r="W13" s="111">
        <f>Table11234579[[#This Row],[M (KN.mm)]]/$G$19</f>
        <v>0.20504037191093713</v>
      </c>
      <c r="X13" s="111">
        <f t="shared" si="6"/>
        <v>0.67765574324048594</v>
      </c>
      <c r="Y13" s="111">
        <v>1800</v>
      </c>
      <c r="Z13" s="111">
        <v>925</v>
      </c>
      <c r="AA13" s="111">
        <v>1000</v>
      </c>
      <c r="AB13" s="111">
        <v>300</v>
      </c>
      <c r="AC13" s="7">
        <v>45</v>
      </c>
      <c r="AD13" s="111">
        <f>Table11234579[[#This Row],[pho (%)]]*Table11234579[[#This Row],[b (mm)]]*Table11234579[[#This Row],[h (mm)]]/100</f>
        <v>2940</v>
      </c>
      <c r="AE13" s="111">
        <f t="shared" si="4"/>
        <v>0.98</v>
      </c>
      <c r="AF13" s="160">
        <v>525</v>
      </c>
      <c r="AG13" s="111">
        <f>(1/3-0.21*(MIN(Table11234579[[#This Row],[b (mm)]],AA13)/MAX(Table11234579[[#This Row],[b (mm)]],AA13))*(MIN(Table11234579[[#This Row],[b (mm)]],AA13)^4/(12*MAX(Table11234579[[#This Row],[b (mm)]],AA13)^4)))*MAX(Table11234579[[#This Row],[b (mm)]],AA13)*MIN(Table11234579[[#This Row],[b (mm)]],AA13)^3</f>
        <v>8998851825</v>
      </c>
      <c r="AH13" s="111">
        <f>Table11234579[[#This Row],[b (mm)]]*AA13^3/12</f>
        <v>25000000000</v>
      </c>
      <c r="AI13" s="111">
        <v>3600</v>
      </c>
      <c r="AJ13" s="138"/>
      <c r="AK13" s="107"/>
    </row>
    <row r="14" spans="1:39" x14ac:dyDescent="0.25">
      <c r="A14" s="234" t="s">
        <v>188</v>
      </c>
      <c r="B14" s="279">
        <v>2</v>
      </c>
      <c r="C14" s="279">
        <v>13</v>
      </c>
      <c r="D14" s="275">
        <f>Table11234579[[#This Row],[a (mm)]]/Table11234579[[#This Row],[d (mm)]]</f>
        <v>1.9459459459459461</v>
      </c>
      <c r="E14" s="280">
        <f>704/2</f>
        <v>352</v>
      </c>
      <c r="F14" s="137">
        <f>Table11234579[[#This Row],[d (mm)]]</f>
        <v>925</v>
      </c>
      <c r="G14" s="111">
        <f t="shared" si="5"/>
        <v>633600</v>
      </c>
      <c r="H14" s="111">
        <f t="shared" si="0"/>
        <v>9.6230441415593835E-7</v>
      </c>
      <c r="I14" s="111">
        <f>G14/(Table11234579[[#This Row],[b (mm)]]*Z14^2)</f>
        <v>2.4683710737764793E-3</v>
      </c>
      <c r="J14" s="111">
        <f t="shared" si="1"/>
        <v>0.44377905602395401</v>
      </c>
      <c r="K14" s="111">
        <f t="shared" si="2"/>
        <v>1.2457357117114825E-6</v>
      </c>
      <c r="L14" s="111">
        <f>E14/(Table11234579[[#This Row],[b (mm)]]*Z14)</f>
        <v>1.2684684684684685E-3</v>
      </c>
      <c r="M14" s="111">
        <f>Table11234579[[#This Row],[M (KN.mm)]]/(Table11234579[[#This Row],[b (mm)]]*Table11234579[[#This Row],[d (mm)]])</f>
        <v>2.2832432432432435</v>
      </c>
      <c r="N14" s="111">
        <f>Table11234579[[#This Row],[M (KN.mm)]]/(Table11234579[[#This Row],[b (mm)]]*Table11234579[[#This Row],[h (mm)]])</f>
        <v>2.1120000000000001</v>
      </c>
      <c r="O14" s="111">
        <f>Table11234579[[#This Row],[M (KN.mm)]]/(Table11234579[[#This Row],[b (mm)]]*Table11234579[[#This Row],[h (mm)]]*Table11234579[[#This Row],[L(mm)]])</f>
        <v>5.8666666666666665E-4</v>
      </c>
      <c r="P14" s="111">
        <f>Table11234579[[#This Row],[M (KN.mm)]]/(Table11234579[[#This Row],[b (mm)]]*Table11234579[[#This Row],[d (mm)]]*Table11234579[[#This Row],[L(mm)]])</f>
        <v>6.3423423423423424E-4</v>
      </c>
      <c r="Q14" s="111">
        <f>Table11234579[[#This Row],[M (KN.mm)]]/(Table11234579[[#This Row],[b (mm)]]*Table11234579[[#This Row],[h (mm)]]*Table11234579[[#This Row],[L(mm)]]*Table11234579[[#This Row],[fc (Mpa)]])</f>
        <v>1.3037037037037038E-5</v>
      </c>
      <c r="R14" s="111">
        <f>Table11234579[[#This Row],[M (KN.mm)]]/(Table11234579[[#This Row],[b (mm)]]*Table11234579[[#This Row],[h (mm)]]*Table11234579[[#This Row],[L(mm)]]/2)</f>
        <v>1.1733333333333333E-3</v>
      </c>
      <c r="S14" s="111">
        <f>Table11234579[[#This Row],[M (KN.mm)]]/(Table11234579[[#This Row],[a (mm)]]*Table11234579[[#This Row],[b (mm)]]*Table11234579[[#This Row],[h (mm)]]*Table11234579[[#This Row],[L(mm)]]/2)</f>
        <v>6.5185185185185182E-7</v>
      </c>
      <c r="T14" s="111">
        <f>G14/($AL$5*AH14*0.001*Table11234579[[#This Row],[pho (%)]])</f>
        <v>9.8194327975095744E-7</v>
      </c>
      <c r="U14" s="111">
        <f>Table11234579[[#This Row],[M (KN.mm)]]/(Table11234579[[#This Row],[b (mm)]]*Table11234579[[#This Row],[d (mm)]]*Table11234579[[#This Row],[pho (%)]])</f>
        <v>2.3298400441257585</v>
      </c>
      <c r="V14" s="111">
        <f>E14*224.8/(2*SQRT(Table11234579[[#This Row],[fc (Mpa)]]*145.037)*Table11234579[[#This Row],[b (mm)]]*Table11234579[[#This Row],[d (mm)]]*(1/25.4)^2)</f>
        <v>1.1385910339887879</v>
      </c>
      <c r="W14" s="111">
        <f>Table11234579[[#This Row],[M (KN.mm)]]/$G$19</f>
        <v>0.34450697333007096</v>
      </c>
      <c r="X14" s="111">
        <f t="shared" si="6"/>
        <v>1.1385910339887879</v>
      </c>
      <c r="Y14" s="111">
        <v>1800</v>
      </c>
      <c r="Z14" s="111">
        <v>925</v>
      </c>
      <c r="AA14" s="111">
        <v>1000</v>
      </c>
      <c r="AB14" s="111">
        <v>300</v>
      </c>
      <c r="AC14" s="7">
        <v>45</v>
      </c>
      <c r="AD14" s="111">
        <f>Table11234579[[#This Row],[pho (%)]]*Table11234579[[#This Row],[b (mm)]]*Table11234579[[#This Row],[h (mm)]]/100</f>
        <v>2940</v>
      </c>
      <c r="AE14" s="111">
        <f t="shared" si="4"/>
        <v>0.98</v>
      </c>
      <c r="AF14" s="160">
        <v>525</v>
      </c>
      <c r="AG14" s="111">
        <f>(1/3-0.21*(MIN(Table11234579[[#This Row],[b (mm)]],AA14)/MAX(Table11234579[[#This Row],[b (mm)]],AA14))*(MIN(Table11234579[[#This Row],[b (mm)]],AA14)^4/(12*MAX(Table11234579[[#This Row],[b (mm)]],AA14)^4)))*MAX(Table11234579[[#This Row],[b (mm)]],AA14)*MIN(Table11234579[[#This Row],[b (mm)]],AA14)^3</f>
        <v>8998851825</v>
      </c>
      <c r="AH14" s="111">
        <f>Table11234579[[#This Row],[b (mm)]]*AA14^3/12</f>
        <v>25000000000</v>
      </c>
      <c r="AI14" s="111">
        <v>3600</v>
      </c>
      <c r="AJ14" s="138"/>
      <c r="AK14" s="107"/>
    </row>
    <row r="15" spans="1:39" x14ac:dyDescent="0.25">
      <c r="A15" s="234" t="s">
        <v>188</v>
      </c>
      <c r="B15" s="279">
        <v>3</v>
      </c>
      <c r="C15" s="279">
        <v>14</v>
      </c>
      <c r="D15" s="275">
        <f>Table11234579[[#This Row],[a (mm)]]/Table11234579[[#This Row],[d (mm)]]</f>
        <v>1.9459459459459461</v>
      </c>
      <c r="E15" s="280">
        <f>1002.5/2</f>
        <v>501.25</v>
      </c>
      <c r="F15" s="137">
        <f>Table11234579[[#This Row],[d (mm)]]</f>
        <v>925</v>
      </c>
      <c r="G15" s="111">
        <f t="shared" si="5"/>
        <v>902250</v>
      </c>
      <c r="H15" s="111">
        <f t="shared" si="0"/>
        <v>1.370326953396773E-6</v>
      </c>
      <c r="I15" s="111">
        <f>G15/(Table11234579[[#This Row],[b (mm)]]*Z15^2)</f>
        <v>3.5149744338933528E-3</v>
      </c>
      <c r="J15" s="111">
        <f t="shared" si="1"/>
        <v>0.63194389725001965</v>
      </c>
      <c r="K15" s="111">
        <f t="shared" si="2"/>
        <v>1.7739347315209676E-6</v>
      </c>
      <c r="L15" s="111">
        <f>E15/(Table11234579[[#This Row],[b (mm)]]*Z15)</f>
        <v>1.8063063063063062E-3</v>
      </c>
      <c r="M15" s="111">
        <f>Table11234579[[#This Row],[M (KN.mm)]]/(Table11234579[[#This Row],[b (mm)]]*Table11234579[[#This Row],[d (mm)]])</f>
        <v>3.2513513513513512</v>
      </c>
      <c r="N15" s="111">
        <f>Table11234579[[#This Row],[M (KN.mm)]]/(Table11234579[[#This Row],[b (mm)]]*Table11234579[[#This Row],[h (mm)]])</f>
        <v>3.0074999999999998</v>
      </c>
      <c r="O15" s="111">
        <f>Table11234579[[#This Row],[M (KN.mm)]]/(Table11234579[[#This Row],[b (mm)]]*Table11234579[[#This Row],[h (mm)]]*Table11234579[[#This Row],[L(mm)]])</f>
        <v>8.3541666666666671E-4</v>
      </c>
      <c r="P15" s="111">
        <f>Table11234579[[#This Row],[M (KN.mm)]]/(Table11234579[[#This Row],[b (mm)]]*Table11234579[[#This Row],[d (mm)]]*Table11234579[[#This Row],[L(mm)]])</f>
        <v>9.031531531531531E-4</v>
      </c>
      <c r="Q15" s="111">
        <f>Table11234579[[#This Row],[M (KN.mm)]]/(Table11234579[[#This Row],[b (mm)]]*Table11234579[[#This Row],[h (mm)]]*Table11234579[[#This Row],[L(mm)]]*Table11234579[[#This Row],[fc (Mpa)]])</f>
        <v>1.8564814814814816E-5</v>
      </c>
      <c r="R15" s="111">
        <f>Table11234579[[#This Row],[M (KN.mm)]]/(Table11234579[[#This Row],[b (mm)]]*Table11234579[[#This Row],[h (mm)]]*Table11234579[[#This Row],[L(mm)]]/2)</f>
        <v>1.6708333333333334E-3</v>
      </c>
      <c r="S15" s="111">
        <f>Table11234579[[#This Row],[M (KN.mm)]]/(Table11234579[[#This Row],[a (mm)]]*Table11234579[[#This Row],[b (mm)]]*Table11234579[[#This Row],[h (mm)]]*Table11234579[[#This Row],[L(mm)]]/2)</f>
        <v>9.2824074074074073E-7</v>
      </c>
      <c r="T15" s="111">
        <f>G15/($AL$5*AH15*0.001*Table11234579[[#This Row],[pho (%)]])</f>
        <v>1.3982928095885438E-6</v>
      </c>
      <c r="U15" s="111">
        <f>Table11234579[[#This Row],[M (KN.mm)]]/(Table11234579[[#This Row],[b (mm)]]*Table11234579[[#This Row],[d (mm)]]*Table11234579[[#This Row],[pho (%)]])</f>
        <v>3.3177054605626033</v>
      </c>
      <c r="V15" s="111">
        <f>E15*224.8/(2*SQRT(Table11234579[[#This Row],[fc (Mpa)]]*145.037)*Table11234579[[#This Row],[b (mm)]]*Table11234579[[#This Row],[d (mm)]]*(1/25.4)^2)</f>
        <v>1.6213601016672723</v>
      </c>
      <c r="W15" s="111">
        <f>Table11234579[[#This Row],[M (KN.mm)]]/$G$19</f>
        <v>0.49057988744800585</v>
      </c>
      <c r="X15" s="111">
        <f t="shared" si="6"/>
        <v>1.6213601016672723</v>
      </c>
      <c r="Y15" s="111">
        <v>1800</v>
      </c>
      <c r="Z15" s="111">
        <v>925</v>
      </c>
      <c r="AA15" s="111">
        <v>1000</v>
      </c>
      <c r="AB15" s="111">
        <v>300</v>
      </c>
      <c r="AC15" s="7">
        <v>45</v>
      </c>
      <c r="AD15" s="111">
        <f>Table11234579[[#This Row],[pho (%)]]*Table11234579[[#This Row],[b (mm)]]*Table11234579[[#This Row],[h (mm)]]/100</f>
        <v>2940</v>
      </c>
      <c r="AE15" s="111">
        <f t="shared" si="4"/>
        <v>0.98</v>
      </c>
      <c r="AF15" s="160">
        <v>525</v>
      </c>
      <c r="AG15" s="111">
        <f>(1/3-0.21*(MIN(Table11234579[[#This Row],[b (mm)]],AA15)/MAX(Table11234579[[#This Row],[b (mm)]],AA15))*(MIN(Table11234579[[#This Row],[b (mm)]],AA15)^4/(12*MAX(Table11234579[[#This Row],[b (mm)]],AA15)^4)))*MAX(Table11234579[[#This Row],[b (mm)]],AA15)*MIN(Table11234579[[#This Row],[b (mm)]],AA15)^3</f>
        <v>8998851825</v>
      </c>
      <c r="AH15" s="111">
        <f>Table11234579[[#This Row],[b (mm)]]*AA15^3/12</f>
        <v>25000000000</v>
      </c>
      <c r="AI15" s="111">
        <v>3600</v>
      </c>
      <c r="AJ15" s="138"/>
      <c r="AK15" s="107"/>
    </row>
    <row r="16" spans="1:39" x14ac:dyDescent="0.25">
      <c r="A16" s="234" t="s">
        <v>188</v>
      </c>
      <c r="B16" s="279">
        <v>4</v>
      </c>
      <c r="C16" s="279">
        <v>15</v>
      </c>
      <c r="D16" s="275">
        <f>Table11234579[[#This Row],[a (mm)]]/Table11234579[[#This Row],[d (mm)]]</f>
        <v>1.9459459459459461</v>
      </c>
      <c r="E16" s="280">
        <f>1265/2</f>
        <v>632.5</v>
      </c>
      <c r="F16" s="137">
        <f>Table11234579[[#This Row],[d (mm)]]</f>
        <v>925</v>
      </c>
      <c r="G16" s="111">
        <f t="shared" si="5"/>
        <v>1138500</v>
      </c>
      <c r="H16" s="111">
        <f t="shared" si="0"/>
        <v>1.7291407441864517E-6</v>
      </c>
      <c r="I16" s="111">
        <f>G16/(Table11234579[[#This Row],[b (mm)]]*Z16^2)</f>
        <v>4.4353542731921112E-3</v>
      </c>
      <c r="J16" s="111">
        <f t="shared" si="1"/>
        <v>0.79741549129304234</v>
      </c>
      <c r="K16" s="111">
        <f t="shared" si="2"/>
        <v>2.23843135698157E-6</v>
      </c>
      <c r="L16" s="111">
        <f>E16/(Table11234579[[#This Row],[b (mm)]]*Z16)</f>
        <v>2.2792792792792793E-3</v>
      </c>
      <c r="M16" s="111">
        <f>Table11234579[[#This Row],[M (KN.mm)]]/(Table11234579[[#This Row],[b (mm)]]*Table11234579[[#This Row],[d (mm)]])</f>
        <v>4.102702702702703</v>
      </c>
      <c r="N16" s="111">
        <f>Table11234579[[#This Row],[M (KN.mm)]]/(Table11234579[[#This Row],[b (mm)]]*Table11234579[[#This Row],[h (mm)]])</f>
        <v>3.7949999999999999</v>
      </c>
      <c r="O16" s="111">
        <f>Table11234579[[#This Row],[M (KN.mm)]]/(Table11234579[[#This Row],[b (mm)]]*Table11234579[[#This Row],[h (mm)]]*Table11234579[[#This Row],[L(mm)]])</f>
        <v>1.0541666666666666E-3</v>
      </c>
      <c r="P16" s="111">
        <f>Table11234579[[#This Row],[M (KN.mm)]]/(Table11234579[[#This Row],[b (mm)]]*Table11234579[[#This Row],[d (mm)]]*Table11234579[[#This Row],[L(mm)]])</f>
        <v>1.1396396396396397E-3</v>
      </c>
      <c r="Q16" s="111">
        <f>Table11234579[[#This Row],[M (KN.mm)]]/(Table11234579[[#This Row],[b (mm)]]*Table11234579[[#This Row],[h (mm)]]*Table11234579[[#This Row],[L(mm)]]*Table11234579[[#This Row],[fc (Mpa)]])</f>
        <v>2.3425925925925925E-5</v>
      </c>
      <c r="R16" s="111">
        <f>Table11234579[[#This Row],[M (KN.mm)]]/(Table11234579[[#This Row],[b (mm)]]*Table11234579[[#This Row],[h (mm)]]*Table11234579[[#This Row],[L(mm)]]/2)</f>
        <v>2.1083333333333332E-3</v>
      </c>
      <c r="S16" s="111">
        <f>Table11234579[[#This Row],[M (KN.mm)]]/(Table11234579[[#This Row],[a (mm)]]*Table11234579[[#This Row],[b (mm)]]*Table11234579[[#This Row],[h (mm)]]*Table11234579[[#This Row],[L(mm)]]/2)</f>
        <v>1.1712962962962964E-6</v>
      </c>
      <c r="T16" s="111">
        <f>G16/($AL$5*AH16*0.001*Table11234579[[#This Row],[pho (%)]])</f>
        <v>1.7644293308025018E-6</v>
      </c>
      <c r="U16" s="111">
        <f>Table11234579[[#This Row],[M (KN.mm)]]/(Table11234579[[#This Row],[b (mm)]]*Table11234579[[#This Row],[d (mm)]]*Table11234579[[#This Row],[pho (%)]])</f>
        <v>4.1864313292884718</v>
      </c>
      <c r="V16" s="111">
        <f>E16*224.8/(2*SQRT(Table11234579[[#This Row],[fc (Mpa)]]*145.037)*Table11234579[[#This Row],[b (mm)]]*Table11234579[[#This Row],[d (mm)]]*(1/25.4)^2)</f>
        <v>2.0459057641986029</v>
      </c>
      <c r="W16" s="111">
        <f>Table11234579[[#This Row],[M (KN.mm)]]/$G$19</f>
        <v>0.61903596770247127</v>
      </c>
      <c r="X16" s="111">
        <f t="shared" si="6"/>
        <v>2.0459057641986029</v>
      </c>
      <c r="Y16" s="111">
        <v>1800</v>
      </c>
      <c r="Z16" s="111">
        <v>925</v>
      </c>
      <c r="AA16" s="111">
        <v>1000</v>
      </c>
      <c r="AB16" s="111">
        <v>300</v>
      </c>
      <c r="AC16" s="7">
        <v>45</v>
      </c>
      <c r="AD16" s="111">
        <f>Table11234579[[#This Row],[pho (%)]]*Table11234579[[#This Row],[b (mm)]]*Table11234579[[#This Row],[h (mm)]]/100</f>
        <v>2940</v>
      </c>
      <c r="AE16" s="160">
        <f t="shared" si="4"/>
        <v>0.98</v>
      </c>
      <c r="AF16" s="160">
        <v>525</v>
      </c>
      <c r="AG16" s="111">
        <f>(1/3-0.21*(MIN(Table11234579[[#This Row],[b (mm)]],AA16)/MAX(Table11234579[[#This Row],[b (mm)]],AA16))*(MIN(Table11234579[[#This Row],[b (mm)]],AA16)^4/(12*MAX(Table11234579[[#This Row],[b (mm)]],AA16)^4)))*MAX(Table11234579[[#This Row],[b (mm)]],AA16)*MIN(Table11234579[[#This Row],[b (mm)]],AA16)^3</f>
        <v>8998851825</v>
      </c>
      <c r="AH16" s="111">
        <f>Table11234579[[#This Row],[b (mm)]]*AA16^3/12</f>
        <v>25000000000</v>
      </c>
      <c r="AI16" s="111">
        <v>3600</v>
      </c>
      <c r="AJ16" s="138"/>
      <c r="AK16" s="107"/>
    </row>
    <row r="17" spans="1:39" x14ac:dyDescent="0.25">
      <c r="A17" s="234" t="s">
        <v>188</v>
      </c>
      <c r="B17" s="279">
        <v>5</v>
      </c>
      <c r="C17" s="279">
        <v>16</v>
      </c>
      <c r="D17" s="275">
        <f>Table11234579[[#This Row],[a (mm)]]/Table11234579[[#This Row],[d (mm)]]</f>
        <v>1.9459459459459461</v>
      </c>
      <c r="E17" s="280">
        <f>1599/2</f>
        <v>799.5</v>
      </c>
      <c r="F17" s="137">
        <f>Table11234579[[#This Row],[d (mm)]]</f>
        <v>925</v>
      </c>
      <c r="G17" s="111">
        <f t="shared" si="5"/>
        <v>1439100</v>
      </c>
      <c r="H17" s="111">
        <f t="shared" si="0"/>
        <v>2.1856885770388429E-6</v>
      </c>
      <c r="I17" s="111">
        <f>G17/(Table11234579[[#This Row],[b (mm)]]*Z17^2)</f>
        <v>5.6064280496712932E-3</v>
      </c>
      <c r="J17" s="111">
        <f t="shared" si="1"/>
        <v>1.0079583957134977</v>
      </c>
      <c r="K17" s="111">
        <f t="shared" si="2"/>
        <v>2.82944801566287E-6</v>
      </c>
      <c r="L17" s="111">
        <f>E17/(Table11234579[[#This Row],[b (mm)]]*Z17)</f>
        <v>2.8810810810810813E-3</v>
      </c>
      <c r="M17" s="111">
        <f>Table11234579[[#This Row],[M (KN.mm)]]/(Table11234579[[#This Row],[b (mm)]]*Table11234579[[#This Row],[d (mm)]])</f>
        <v>5.1859459459459458</v>
      </c>
      <c r="N17" s="111">
        <f>Table11234579[[#This Row],[M (KN.mm)]]/(Table11234579[[#This Row],[b (mm)]]*Table11234579[[#This Row],[h (mm)]])</f>
        <v>4.7969999999999997</v>
      </c>
      <c r="O17" s="111">
        <f>Table11234579[[#This Row],[M (KN.mm)]]/(Table11234579[[#This Row],[b (mm)]]*Table11234579[[#This Row],[h (mm)]]*Table11234579[[#This Row],[L(mm)]])</f>
        <v>1.3324999999999999E-3</v>
      </c>
      <c r="P17" s="111">
        <f>Table11234579[[#This Row],[M (KN.mm)]]/(Table11234579[[#This Row],[b (mm)]]*Table11234579[[#This Row],[d (mm)]]*Table11234579[[#This Row],[L(mm)]])</f>
        <v>1.4405405405405406E-3</v>
      </c>
      <c r="Q17" s="111">
        <f>Table11234579[[#This Row],[M (KN.mm)]]/(Table11234579[[#This Row],[b (mm)]]*Table11234579[[#This Row],[h (mm)]]*Table11234579[[#This Row],[L(mm)]]*Table11234579[[#This Row],[fc (Mpa)]])</f>
        <v>2.9611111111111111E-5</v>
      </c>
      <c r="R17" s="111">
        <f>Table11234579[[#This Row],[M (KN.mm)]]/(Table11234579[[#This Row],[b (mm)]]*Table11234579[[#This Row],[h (mm)]]*Table11234579[[#This Row],[L(mm)]]/2)</f>
        <v>2.6649999999999998E-3</v>
      </c>
      <c r="S17" s="111">
        <f>Table11234579[[#This Row],[M (KN.mm)]]/(Table11234579[[#This Row],[a (mm)]]*Table11234579[[#This Row],[b (mm)]]*Table11234579[[#This Row],[h (mm)]]*Table11234579[[#This Row],[L(mm)]]/2)</f>
        <v>1.4805555555555555E-6</v>
      </c>
      <c r="T17" s="111">
        <f>G17/($AL$5*AH17*0.001*Table11234579[[#This Row],[pho (%)]])</f>
        <v>2.2302944663661661E-6</v>
      </c>
      <c r="U17" s="111">
        <f>Table11234579[[#This Row],[M (KN.mm)]]/(Table11234579[[#This Row],[b (mm)]]*Table11234579[[#This Row],[d (mm)]]*Table11234579[[#This Row],[pho (%)]])</f>
        <v>5.291781577495863</v>
      </c>
      <c r="V17" s="111">
        <f>E17*224.8/(2*SQRT(Table11234579[[#This Row],[fc (Mpa)]]*145.037)*Table11234579[[#This Row],[b (mm)]]*Table11234579[[#This Row],[d (mm)]]*(1/25.4)^2)</f>
        <v>2.5860895786194198</v>
      </c>
      <c r="W17" s="111">
        <f>Table11234579[[#This Row],[M (KN.mm)]]/$G$19</f>
        <v>0.78248103743577191</v>
      </c>
      <c r="X17" s="111">
        <f t="shared" si="6"/>
        <v>2.5860895786194198</v>
      </c>
      <c r="Y17" s="111">
        <v>1800</v>
      </c>
      <c r="Z17" s="111">
        <v>925</v>
      </c>
      <c r="AA17" s="111">
        <v>1000</v>
      </c>
      <c r="AB17" s="111">
        <v>300</v>
      </c>
      <c r="AC17" s="7">
        <v>45</v>
      </c>
      <c r="AD17" s="111">
        <f>Table11234579[[#This Row],[pho (%)]]*Table11234579[[#This Row],[b (mm)]]*Table11234579[[#This Row],[h (mm)]]/100</f>
        <v>2940</v>
      </c>
      <c r="AE17" s="160">
        <f t="shared" si="4"/>
        <v>0.98</v>
      </c>
      <c r="AF17" s="160">
        <v>525</v>
      </c>
      <c r="AG17" s="111">
        <f>(1/3-0.21*(MIN(Table11234579[[#This Row],[b (mm)]],AA17)/MAX(Table11234579[[#This Row],[b (mm)]],AA17))*(MIN(Table11234579[[#This Row],[b (mm)]],AA17)^4/(12*MAX(Table11234579[[#This Row],[b (mm)]],AA17)^4)))*MAX(Table11234579[[#This Row],[b (mm)]],AA17)*MIN(Table11234579[[#This Row],[b (mm)]],AA17)^3</f>
        <v>8998851825</v>
      </c>
      <c r="AH17" s="111">
        <f>Table11234579[[#This Row],[b (mm)]]*AA17^3/12</f>
        <v>25000000000</v>
      </c>
      <c r="AI17" s="111">
        <v>3600</v>
      </c>
      <c r="AJ17" s="138"/>
      <c r="AK17" s="107"/>
    </row>
    <row r="18" spans="1:39" s="129" customFormat="1" x14ac:dyDescent="0.25">
      <c r="A18" s="234" t="s">
        <v>188</v>
      </c>
      <c r="B18" s="279">
        <v>6</v>
      </c>
      <c r="C18" s="279">
        <v>17</v>
      </c>
      <c r="D18" s="275">
        <f>Table11234579[[#This Row],[a (mm)]]/Table11234579[[#This Row],[d (mm)]]</f>
        <v>1.9459459459459461</v>
      </c>
      <c r="E18" s="280">
        <f>1901/2</f>
        <v>950.5</v>
      </c>
      <c r="F18" s="137">
        <f>Table11234579[[#This Row],[d (mm)]]</f>
        <v>925</v>
      </c>
      <c r="G18" s="111">
        <f t="shared" si="5"/>
        <v>1710900</v>
      </c>
      <c r="H18" s="111">
        <f t="shared" si="0"/>
        <v>2.5984953001568731E-6</v>
      </c>
      <c r="I18" s="111">
        <f>G18/(Table11234579[[#This Row],[b (mm)]]*Z18^2)</f>
        <v>6.6653031409788163E-3</v>
      </c>
      <c r="J18" s="111">
        <f t="shared" si="1"/>
        <v>1.1983295248601371</v>
      </c>
      <c r="K18" s="111">
        <f t="shared" si="2"/>
        <v>3.3638403238118296E-6</v>
      </c>
      <c r="L18" s="111">
        <f>E18/(Table11234579[[#This Row],[b (mm)]]*Z18)</f>
        <v>3.4252252252252252E-3</v>
      </c>
      <c r="M18" s="111">
        <f>Table11234579[[#This Row],[M (KN.mm)]]/(Table11234579[[#This Row],[b (mm)]]*Table11234579[[#This Row],[d (mm)]])</f>
        <v>6.165405405405405</v>
      </c>
      <c r="N18" s="111">
        <f>Table11234579[[#This Row],[M (KN.mm)]]/(Table11234579[[#This Row],[b (mm)]]*Table11234579[[#This Row],[h (mm)]])</f>
        <v>5.7030000000000003</v>
      </c>
      <c r="O18" s="111">
        <f>Table11234579[[#This Row],[M (KN.mm)]]/(Table11234579[[#This Row],[b (mm)]]*Table11234579[[#This Row],[h (mm)]]*Table11234579[[#This Row],[L(mm)]])</f>
        <v>1.5841666666666667E-3</v>
      </c>
      <c r="P18" s="111">
        <f>Table11234579[[#This Row],[M (KN.mm)]]/(Table11234579[[#This Row],[b (mm)]]*Table11234579[[#This Row],[d (mm)]]*Table11234579[[#This Row],[L(mm)]])</f>
        <v>1.7126126126126126E-3</v>
      </c>
      <c r="Q18" s="111">
        <f>Table11234579[[#This Row],[M (KN.mm)]]/(Table11234579[[#This Row],[b (mm)]]*Table11234579[[#This Row],[h (mm)]]*Table11234579[[#This Row],[L(mm)]]*Table11234579[[#This Row],[fc (Mpa)]])</f>
        <v>3.5203703703703702E-5</v>
      </c>
      <c r="R18" s="111">
        <f>Table11234579[[#This Row],[M (KN.mm)]]/(Table11234579[[#This Row],[b (mm)]]*Table11234579[[#This Row],[h (mm)]]*Table11234579[[#This Row],[L(mm)]]/2)</f>
        <v>3.1683333333333333E-3</v>
      </c>
      <c r="S18" s="111">
        <f>Table11234579[[#This Row],[M (KN.mm)]]/(Table11234579[[#This Row],[a (mm)]]*Table11234579[[#This Row],[b (mm)]]*Table11234579[[#This Row],[h (mm)]]*Table11234579[[#This Row],[L(mm)]]/2)</f>
        <v>1.7601851851851852E-6</v>
      </c>
      <c r="T18" s="111">
        <f>G18/($AL$5*AH18*0.001*Table11234579[[#This Row],[pho (%)]])</f>
        <v>2.6515258164866052E-6</v>
      </c>
      <c r="U18" s="111">
        <f>Table11234579[[#This Row],[M (KN.mm)]]/(Table11234579[[#This Row],[b (mm)]]*Table11234579[[#This Row],[d (mm)]]*Table11234579[[#This Row],[pho (%)]])</f>
        <v>6.29123000551572</v>
      </c>
      <c r="V18" s="111">
        <f>E18*224.8/(2*SQRT(Table11234579[[#This Row],[fc (Mpa)]]*145.037)*Table11234579[[#This Row],[b (mm)]]*Table11234579[[#This Row],[d (mm)]]*(1/25.4)^2)</f>
        <v>3.0745192551316558</v>
      </c>
      <c r="W18" s="111">
        <f>Table11234579[[#This Row],[M (KN.mm)]]/$G$19</f>
        <v>0.93026669929043304</v>
      </c>
      <c r="X18" s="111">
        <f t="shared" si="6"/>
        <v>3.0745192551316558</v>
      </c>
      <c r="Y18" s="111">
        <v>1800</v>
      </c>
      <c r="Z18" s="111">
        <v>925</v>
      </c>
      <c r="AA18" s="111">
        <v>1000</v>
      </c>
      <c r="AB18" s="111">
        <v>300</v>
      </c>
      <c r="AC18" s="7">
        <v>45</v>
      </c>
      <c r="AD18" s="111">
        <f>Table11234579[[#This Row],[pho (%)]]*Table11234579[[#This Row],[b (mm)]]*Table11234579[[#This Row],[h (mm)]]/100</f>
        <v>2940</v>
      </c>
      <c r="AE18" s="160">
        <f t="shared" si="4"/>
        <v>0.98</v>
      </c>
      <c r="AF18" s="160">
        <v>525</v>
      </c>
      <c r="AG18" s="111">
        <f>(1/3-0.21*(MIN(Table11234579[[#This Row],[b (mm)]],AA18)/MAX(Table11234579[[#This Row],[b (mm)]],AA18))*(MIN(Table11234579[[#This Row],[b (mm)]],AA18)^4/(12*MAX(Table11234579[[#This Row],[b (mm)]],AA18)^4)))*MAX(Table11234579[[#This Row],[b (mm)]],AA18)*MIN(Table11234579[[#This Row],[b (mm)]],AA18)^3</f>
        <v>8998851825</v>
      </c>
      <c r="AH18" s="111">
        <f>Table11234579[[#This Row],[b (mm)]]*AA18^3/12</f>
        <v>25000000000</v>
      </c>
      <c r="AI18" s="111">
        <v>3600</v>
      </c>
      <c r="AJ18" s="138"/>
      <c r="AK18" s="128"/>
      <c r="AL18" s="138"/>
      <c r="AM18" s="1"/>
    </row>
    <row r="19" spans="1:39" s="129" customFormat="1" x14ac:dyDescent="0.25">
      <c r="A19" s="234" t="s">
        <v>188</v>
      </c>
      <c r="B19" s="279" t="s">
        <v>141</v>
      </c>
      <c r="C19" s="279">
        <v>18</v>
      </c>
      <c r="D19" s="275">
        <f>Table11234579[[#This Row],[a (mm)]]/Table11234579[[#This Row],[d (mm)]]</f>
        <v>1.9459459459459461</v>
      </c>
      <c r="E19" s="280">
        <f>2043.5/2</f>
        <v>1021.75</v>
      </c>
      <c r="F19" s="137">
        <f>Table11234579[[#This Row],[d (mm)]]</f>
        <v>925</v>
      </c>
      <c r="G19" s="111">
        <f t="shared" si="5"/>
        <v>1839150</v>
      </c>
      <c r="H19" s="111">
        <f t="shared" si="0"/>
        <v>2.7932799294426987E-6</v>
      </c>
      <c r="I19" s="111">
        <f>G19/(Table11234579[[#This Row],[b (mm)]]*Z19^2)</f>
        <v>7.1649379108838568E-3</v>
      </c>
      <c r="J19" s="111">
        <f t="shared" si="1"/>
        <v>1.2881569616263493</v>
      </c>
      <c r="K19" s="111">
        <f t="shared" si="2"/>
        <v>3.6159956347761569E-6</v>
      </c>
      <c r="L19" s="111">
        <f>E19/(Table11234579[[#This Row],[b (mm)]]*Z19)</f>
        <v>3.6819819819819818E-3</v>
      </c>
      <c r="M19" s="111">
        <f>Table11234579[[#This Row],[M (KN.mm)]]/(Table11234579[[#This Row],[b (mm)]]*Table11234579[[#This Row],[d (mm)]])</f>
        <v>6.6275675675675672</v>
      </c>
      <c r="N19" s="111">
        <f>Table11234579[[#This Row],[M (KN.mm)]]/(Table11234579[[#This Row],[b (mm)]]*Table11234579[[#This Row],[h (mm)]])</f>
        <v>6.1304999999999996</v>
      </c>
      <c r="O19" s="111">
        <f>Table11234579[[#This Row],[M (KN.mm)]]/(Table11234579[[#This Row],[b (mm)]]*Table11234579[[#This Row],[h (mm)]]*Table11234579[[#This Row],[L(mm)]])</f>
        <v>1.7029166666666666E-3</v>
      </c>
      <c r="P19" s="111">
        <f>Table11234579[[#This Row],[M (KN.mm)]]/(Table11234579[[#This Row],[b (mm)]]*Table11234579[[#This Row],[d (mm)]]*Table11234579[[#This Row],[L(mm)]])</f>
        <v>1.8409909909909909E-3</v>
      </c>
      <c r="Q19" s="111">
        <f>Table11234579[[#This Row],[M (KN.mm)]]/(Table11234579[[#This Row],[b (mm)]]*Table11234579[[#This Row],[h (mm)]]*Table11234579[[#This Row],[L(mm)]]*Table11234579[[#This Row],[fc (Mpa)]])</f>
        <v>3.7842592592592592E-5</v>
      </c>
      <c r="R19" s="111">
        <f>Table11234579[[#This Row],[M (KN.mm)]]/(Table11234579[[#This Row],[b (mm)]]*Table11234579[[#This Row],[h (mm)]]*Table11234579[[#This Row],[L(mm)]]/2)</f>
        <v>3.4058333333333332E-3</v>
      </c>
      <c r="S19" s="111">
        <f>Table11234579[[#This Row],[M (KN.mm)]]/(Table11234579[[#This Row],[a (mm)]]*Table11234579[[#This Row],[b (mm)]]*Table11234579[[#This Row],[h (mm)]]*Table11234579[[#This Row],[L(mm)]]/2)</f>
        <v>1.8921296296296297E-6</v>
      </c>
      <c r="T19" s="111">
        <f>G19/($AL$5*AH19*0.001*Table11234579[[#This Row],[pho (%)]])</f>
        <v>2.8502856422884684E-6</v>
      </c>
      <c r="U19" s="111">
        <f>Table11234579[[#This Row],[M (KN.mm)]]/(Table11234579[[#This Row],[b (mm)]]*Table11234579[[#This Row],[d (mm)]]*Table11234579[[#This Row],[pho (%)]])</f>
        <v>6.7628240485383344</v>
      </c>
      <c r="V19" s="111">
        <f>E19*224.8/(2*SQRT(Table11234579[[#This Row],[fc (Mpa)]]*145.037)*Table11234579[[#This Row],[b (mm)]]*Table11234579[[#This Row],[d (mm)]]*(1/25.4)^2)</f>
        <v>3.3049869005058068</v>
      </c>
      <c r="W19" s="111">
        <f>Table11234579[[#This Row],[M (KN.mm)]]/$G$19</f>
        <v>1</v>
      </c>
      <c r="X19" s="111">
        <f t="shared" si="6"/>
        <v>3.3049869005058068</v>
      </c>
      <c r="Y19" s="111">
        <v>1800</v>
      </c>
      <c r="Z19" s="111">
        <v>925</v>
      </c>
      <c r="AA19" s="111">
        <v>1000</v>
      </c>
      <c r="AB19" s="111">
        <v>300</v>
      </c>
      <c r="AC19" s="7">
        <v>45</v>
      </c>
      <c r="AD19" s="111">
        <f>Table11234579[[#This Row],[pho (%)]]*Table11234579[[#This Row],[b (mm)]]*Table11234579[[#This Row],[h (mm)]]/100</f>
        <v>2940</v>
      </c>
      <c r="AE19" s="160">
        <f t="shared" si="4"/>
        <v>0.98</v>
      </c>
      <c r="AF19" s="160">
        <v>525</v>
      </c>
      <c r="AG19" s="111">
        <f>(1/3-0.21*(MIN(Table11234579[[#This Row],[b (mm)]],AA19)/MAX(Table11234579[[#This Row],[b (mm)]],AA19))*(MIN(Table11234579[[#This Row],[b (mm)]],AA19)^4/(12*MAX(Table11234579[[#This Row],[b (mm)]],AA19)^4)))*MAX(Table11234579[[#This Row],[b (mm)]],AA19)*MIN(Table11234579[[#This Row],[b (mm)]],AA19)^3</f>
        <v>8998851825</v>
      </c>
      <c r="AH19" s="111">
        <f>Table11234579[[#This Row],[b (mm)]]*AA19^3/12</f>
        <v>25000000000</v>
      </c>
      <c r="AI19" s="111">
        <v>3600</v>
      </c>
      <c r="AJ19" s="138"/>
      <c r="AK19" s="128"/>
      <c r="AL19" s="138"/>
      <c r="AM19" s="1"/>
    </row>
    <row r="20" spans="1:39" s="129" customFormat="1" x14ac:dyDescent="0.25">
      <c r="A20" s="164" t="s">
        <v>189</v>
      </c>
      <c r="B20" s="281">
        <v>1</v>
      </c>
      <c r="C20" s="281">
        <v>19</v>
      </c>
      <c r="D20" s="275">
        <f>Table11234579[[#This Row],[a (mm)]]/Table11234579[[#This Row],[d (mm)]]</f>
        <v>1.6216216216216217</v>
      </c>
      <c r="E20" s="282">
        <f>467/2</f>
        <v>233.5</v>
      </c>
      <c r="F20" s="137">
        <f>Table11234579[[#This Row],[d (mm)]]</f>
        <v>925</v>
      </c>
      <c r="G20" s="111">
        <f t="shared" si="5"/>
        <v>350250</v>
      </c>
      <c r="H20" s="111">
        <f t="shared" si="0"/>
        <v>5.3195568348819031E-7</v>
      </c>
      <c r="I20" s="111">
        <f>G20/(Table11234579[[#This Row],[b (mm)]]*Z20^2)</f>
        <v>1.364499634769905E-3</v>
      </c>
      <c r="J20" s="111">
        <f t="shared" si="1"/>
        <v>0.24531820450187797</v>
      </c>
      <c r="K20" s="111">
        <f t="shared" si="2"/>
        <v>8.2636161558133844E-7</v>
      </c>
      <c r="L20" s="111">
        <f>E20/(Table11234579[[#This Row],[b (mm)]]*Z20)</f>
        <v>8.4144144144144141E-4</v>
      </c>
      <c r="M20" s="111">
        <f>Table11234579[[#This Row],[M (KN.mm)]]/(Table11234579[[#This Row],[b (mm)]]*Table11234579[[#This Row],[d (mm)]])</f>
        <v>1.2621621621621621</v>
      </c>
      <c r="N20" s="111">
        <f>Table11234579[[#This Row],[M (KN.mm)]]/(Table11234579[[#This Row],[b (mm)]]*Table11234579[[#This Row],[h (mm)]])</f>
        <v>1.1675</v>
      </c>
      <c r="O20" s="111">
        <f>Table11234579[[#This Row],[M (KN.mm)]]/(Table11234579[[#This Row],[b (mm)]]*Table11234579[[#This Row],[h (mm)]]*Table11234579[[#This Row],[L(mm)]])</f>
        <v>3.8916666666666668E-4</v>
      </c>
      <c r="P20" s="111">
        <f>Table11234579[[#This Row],[M (KN.mm)]]/(Table11234579[[#This Row],[b (mm)]]*Table11234579[[#This Row],[d (mm)]]*Table11234579[[#This Row],[L(mm)]])</f>
        <v>4.207207207207207E-4</v>
      </c>
      <c r="Q20" s="111">
        <f>Table11234579[[#This Row],[M (KN.mm)]]/(Table11234579[[#This Row],[b (mm)]]*Table11234579[[#This Row],[h (mm)]]*Table11234579[[#This Row],[L(mm)]]*Table11234579[[#This Row],[fc (Mpa)]])</f>
        <v>9.9786324786324794E-6</v>
      </c>
      <c r="R20" s="111">
        <f>Table11234579[[#This Row],[M (KN.mm)]]/(Table11234579[[#This Row],[b (mm)]]*Table11234579[[#This Row],[h (mm)]]*Table11234579[[#This Row],[L(mm)]]/2)</f>
        <v>7.7833333333333335E-4</v>
      </c>
      <c r="S20" s="111">
        <f>Table11234579[[#This Row],[M (KN.mm)]]/(Table11234579[[#This Row],[a (mm)]]*Table11234579[[#This Row],[b (mm)]]*Table11234579[[#This Row],[h (mm)]]*Table11234579[[#This Row],[L(mm)]]/2)</f>
        <v>5.1888888888888892E-7</v>
      </c>
      <c r="T20" s="111">
        <f>G20/($AL$5*AH20*0.001*Table11234579[[#This Row],[pho (%)]])</f>
        <v>5.4281192192672483E-7</v>
      </c>
      <c r="U20" s="111">
        <f>Table11234579[[#This Row],[M (KN.mm)]]/(Table11234579[[#This Row],[b (mm)]]*Table11234579[[#This Row],[d (mm)]]*Table11234579[[#This Row],[pho (%)]])</f>
        <v>1.2879205736348593</v>
      </c>
      <c r="V20" s="111">
        <f>E20*224.8/(2*SQRT(Table11234579[[#This Row],[fc (Mpa)]]*145.037)*Table11234579[[#This Row],[b (mm)]]*Table11234579[[#This Row],[d (mm)]]*(1/25.4)^2)</f>
        <v>0.81130832870534031</v>
      </c>
      <c r="W20" s="111">
        <f>Table11234579[[#This Row],[M (KN.mm)]]/$G$26</f>
        <v>0.21083521444695261</v>
      </c>
      <c r="X20" s="111">
        <f t="shared" si="6"/>
        <v>0.81130832870534031</v>
      </c>
      <c r="Y20" s="111">
        <v>1500</v>
      </c>
      <c r="Z20" s="111">
        <v>925</v>
      </c>
      <c r="AA20" s="111">
        <v>1000</v>
      </c>
      <c r="AB20" s="111">
        <v>300</v>
      </c>
      <c r="AC20" s="7">
        <v>39</v>
      </c>
      <c r="AD20" s="111">
        <f>Table11234579[[#This Row],[pho (%)]]*Table11234579[[#This Row],[b (mm)]]*Table11234579[[#This Row],[h (mm)]]/100</f>
        <v>2940</v>
      </c>
      <c r="AE20" s="160">
        <f t="shared" si="4"/>
        <v>0.98</v>
      </c>
      <c r="AF20" s="160">
        <v>525</v>
      </c>
      <c r="AG20" s="111">
        <f>(1/3-0.21*(MIN(Table11234579[[#This Row],[b (mm)]],AA20)/MAX(Table11234579[[#This Row],[b (mm)]],AA20))*(MIN(Table11234579[[#This Row],[b (mm)]],AA20)^4/(12*MAX(Table11234579[[#This Row],[b (mm)]],AA20)^4)))*MAX(Table11234579[[#This Row],[b (mm)]],AA20)*MIN(Table11234579[[#This Row],[b (mm)]],AA20)^3</f>
        <v>8998851825</v>
      </c>
      <c r="AH20" s="111">
        <f>Table11234579[[#This Row],[b (mm)]]*AA20^3/12</f>
        <v>25000000000</v>
      </c>
      <c r="AI20" s="111">
        <v>3000</v>
      </c>
      <c r="AJ20" s="138"/>
      <c r="AK20" s="128"/>
      <c r="AL20" s="138"/>
      <c r="AM20" s="1"/>
    </row>
    <row r="21" spans="1:39" s="129" customFormat="1" x14ac:dyDescent="0.25">
      <c r="A21" s="164" t="s">
        <v>189</v>
      </c>
      <c r="B21" s="281">
        <v>2</v>
      </c>
      <c r="C21" s="281">
        <v>20</v>
      </c>
      <c r="D21" s="275">
        <f>Table11234579[[#This Row],[a (mm)]]/Table11234579[[#This Row],[d (mm)]]</f>
        <v>1.6216216216216217</v>
      </c>
      <c r="E21" s="282">
        <f>802/2</f>
        <v>401</v>
      </c>
      <c r="F21" s="137">
        <f>Table11234579[[#This Row],[d (mm)]]</f>
        <v>925</v>
      </c>
      <c r="G21" s="111">
        <f t="shared" si="5"/>
        <v>601500</v>
      </c>
      <c r="H21" s="111">
        <f t="shared" si="0"/>
        <v>9.1355130226451535E-7</v>
      </c>
      <c r="I21" s="111">
        <f>G21/(Table11234579[[#This Row],[b (mm)]]*Z21^2)</f>
        <v>2.3433162892622351E-3</v>
      </c>
      <c r="J21" s="111">
        <f t="shared" si="1"/>
        <v>0.42129593150001315</v>
      </c>
      <c r="K21" s="111">
        <f t="shared" si="2"/>
        <v>1.4191477852167741E-6</v>
      </c>
      <c r="L21" s="111">
        <f>E21/(Table11234579[[#This Row],[b (mm)]]*Z21)</f>
        <v>1.445045045045045E-3</v>
      </c>
      <c r="M21" s="111">
        <f>Table11234579[[#This Row],[M (KN.mm)]]/(Table11234579[[#This Row],[b (mm)]]*Table11234579[[#This Row],[d (mm)]])</f>
        <v>2.1675675675675676</v>
      </c>
      <c r="N21" s="111">
        <f>Table11234579[[#This Row],[M (KN.mm)]]/(Table11234579[[#This Row],[b (mm)]]*Table11234579[[#This Row],[h (mm)]])</f>
        <v>2.0049999999999999</v>
      </c>
      <c r="O21" s="111">
        <f>Table11234579[[#This Row],[M (KN.mm)]]/(Table11234579[[#This Row],[b (mm)]]*Table11234579[[#This Row],[h (mm)]]*Table11234579[[#This Row],[L(mm)]])</f>
        <v>6.6833333333333328E-4</v>
      </c>
      <c r="P21" s="111">
        <f>Table11234579[[#This Row],[M (KN.mm)]]/(Table11234579[[#This Row],[b (mm)]]*Table11234579[[#This Row],[d (mm)]]*Table11234579[[#This Row],[L(mm)]])</f>
        <v>7.225225225225225E-4</v>
      </c>
      <c r="Q21" s="111">
        <f>Table11234579[[#This Row],[M (KN.mm)]]/(Table11234579[[#This Row],[b (mm)]]*Table11234579[[#This Row],[h (mm)]]*Table11234579[[#This Row],[L(mm)]]*Table11234579[[#This Row],[fc (Mpa)]])</f>
        <v>1.7136752136752138E-5</v>
      </c>
      <c r="R21" s="111">
        <f>Table11234579[[#This Row],[M (KN.mm)]]/(Table11234579[[#This Row],[b (mm)]]*Table11234579[[#This Row],[h (mm)]]*Table11234579[[#This Row],[L(mm)]]/2)</f>
        <v>1.3366666666666666E-3</v>
      </c>
      <c r="S21" s="111">
        <f>Table11234579[[#This Row],[M (KN.mm)]]/(Table11234579[[#This Row],[a (mm)]]*Table11234579[[#This Row],[b (mm)]]*Table11234579[[#This Row],[h (mm)]]*Table11234579[[#This Row],[L(mm)]]/2)</f>
        <v>8.9111111111111113E-7</v>
      </c>
      <c r="T21" s="111">
        <f>G21/($AL$5*AH21*0.001*Table11234579[[#This Row],[pho (%)]])</f>
        <v>9.3219520639236252E-7</v>
      </c>
      <c r="U21" s="111">
        <f>Table11234579[[#This Row],[M (KN.mm)]]/(Table11234579[[#This Row],[b (mm)]]*Table11234579[[#This Row],[d (mm)]]*Table11234579[[#This Row],[pho (%)]])</f>
        <v>2.2118036403750692</v>
      </c>
      <c r="V21" s="111">
        <f>E21*224.8/(2*SQRT(Table11234579[[#This Row],[fc (Mpa)]]*145.037)*Table11234579[[#This Row],[b (mm)]]*Table11234579[[#This Row],[d (mm)]]*(1/25.4)^2)</f>
        <v>1.393296101973625</v>
      </c>
      <c r="W21" s="111">
        <f>Table11234579[[#This Row],[M (KN.mm)]]/$G$26</f>
        <v>0.36207674943566592</v>
      </c>
      <c r="X21" s="111">
        <f t="shared" si="6"/>
        <v>1.393296101973625</v>
      </c>
      <c r="Y21" s="111">
        <v>1500</v>
      </c>
      <c r="Z21" s="111">
        <v>925</v>
      </c>
      <c r="AA21" s="111">
        <v>1000</v>
      </c>
      <c r="AB21" s="111">
        <v>300</v>
      </c>
      <c r="AC21" s="7">
        <v>39</v>
      </c>
      <c r="AD21" s="111">
        <f>Table11234579[[#This Row],[pho (%)]]*Table11234579[[#This Row],[b (mm)]]*Table11234579[[#This Row],[h (mm)]]/100</f>
        <v>2940</v>
      </c>
      <c r="AE21" s="160">
        <f t="shared" si="4"/>
        <v>0.98</v>
      </c>
      <c r="AF21" s="160">
        <v>525</v>
      </c>
      <c r="AG21" s="111">
        <f>(1/3-0.21*(MIN(Table11234579[[#This Row],[b (mm)]],AA21)/MAX(Table11234579[[#This Row],[b (mm)]],AA21))*(MIN(Table11234579[[#This Row],[b (mm)]],AA21)^4/(12*MAX(Table11234579[[#This Row],[b (mm)]],AA21)^4)))*MAX(Table11234579[[#This Row],[b (mm)]],AA21)*MIN(Table11234579[[#This Row],[b (mm)]],AA21)^3</f>
        <v>8998851825</v>
      </c>
      <c r="AH21" s="111">
        <f>Table11234579[[#This Row],[b (mm)]]*AA21^3/12</f>
        <v>25000000000</v>
      </c>
      <c r="AI21" s="111">
        <v>3000</v>
      </c>
      <c r="AJ21" s="138"/>
      <c r="AK21" s="128"/>
      <c r="AL21" s="138"/>
      <c r="AM21" s="1"/>
    </row>
    <row r="22" spans="1:39" s="129" customFormat="1" ht="16.5" customHeight="1" x14ac:dyDescent="0.25">
      <c r="A22" s="164" t="s">
        <v>189</v>
      </c>
      <c r="B22" s="281">
        <v>3</v>
      </c>
      <c r="C22" s="281">
        <v>21</v>
      </c>
      <c r="D22" s="275">
        <f>Table11234579[[#This Row],[a (mm)]]/Table11234579[[#This Row],[d (mm)]]</f>
        <v>1.6216216216216217</v>
      </c>
      <c r="E22" s="282">
        <f>1105/2</f>
        <v>552.5</v>
      </c>
      <c r="F22" s="137">
        <f>Table11234579[[#This Row],[d (mm)]]</f>
        <v>925</v>
      </c>
      <c r="G22" s="111">
        <f t="shared" si="5"/>
        <v>828750</v>
      </c>
      <c r="H22" s="111">
        <f t="shared" si="0"/>
        <v>1.2586959962622062E-6</v>
      </c>
      <c r="I22" s="111">
        <f>G22/(Table11234579[[#This Row],[b (mm)]]*Z22^2)</f>
        <v>3.2286340394448504E-3</v>
      </c>
      <c r="J22" s="111">
        <f t="shared" si="1"/>
        <v>0.58046384576996823</v>
      </c>
      <c r="K22" s="111">
        <f t="shared" si="2"/>
        <v>1.9553096043198695E-6</v>
      </c>
      <c r="L22" s="111">
        <f>E22/(Table11234579[[#This Row],[b (mm)]]*Z22)</f>
        <v>1.9909909909909909E-3</v>
      </c>
      <c r="M22" s="111">
        <f>Table11234579[[#This Row],[M (KN.mm)]]/(Table11234579[[#This Row],[b (mm)]]*Table11234579[[#This Row],[d (mm)]])</f>
        <v>2.9864864864864864</v>
      </c>
      <c r="N22" s="111">
        <f>Table11234579[[#This Row],[M (KN.mm)]]/(Table11234579[[#This Row],[b (mm)]]*Table11234579[[#This Row],[h (mm)]])</f>
        <v>2.7625000000000002</v>
      </c>
      <c r="O22" s="111">
        <f>Table11234579[[#This Row],[M (KN.mm)]]/(Table11234579[[#This Row],[b (mm)]]*Table11234579[[#This Row],[h (mm)]]*Table11234579[[#This Row],[L(mm)]])</f>
        <v>9.2083333333333329E-4</v>
      </c>
      <c r="P22" s="111">
        <f>Table11234579[[#This Row],[M (KN.mm)]]/(Table11234579[[#This Row],[b (mm)]]*Table11234579[[#This Row],[d (mm)]]*Table11234579[[#This Row],[L(mm)]])</f>
        <v>9.9549549549549543E-4</v>
      </c>
      <c r="Q22" s="111">
        <f>Table11234579[[#This Row],[M (KN.mm)]]/(Table11234579[[#This Row],[b (mm)]]*Table11234579[[#This Row],[h (mm)]]*Table11234579[[#This Row],[L(mm)]]*Table11234579[[#This Row],[fc (Mpa)]])</f>
        <v>2.3611111111111111E-5</v>
      </c>
      <c r="R22" s="111">
        <f>Table11234579[[#This Row],[M (KN.mm)]]/(Table11234579[[#This Row],[b (mm)]]*Table11234579[[#This Row],[h (mm)]]*Table11234579[[#This Row],[L(mm)]]/2)</f>
        <v>1.8416666666666666E-3</v>
      </c>
      <c r="S22" s="111">
        <f>Table11234579[[#This Row],[M (KN.mm)]]/(Table11234579[[#This Row],[a (mm)]]*Table11234579[[#This Row],[b (mm)]]*Table11234579[[#This Row],[h (mm)]]*Table11234579[[#This Row],[L(mm)]]/2)</f>
        <v>1.2277777777777777E-6</v>
      </c>
      <c r="T22" s="111">
        <f>G22/($AL$5*AH22*0.001*Table11234579[[#This Row],[pho (%)]])</f>
        <v>1.2843836696553124E-6</v>
      </c>
      <c r="U22" s="111">
        <f>Table11234579[[#This Row],[M (KN.mm)]]/(Table11234579[[#This Row],[b (mm)]]*Table11234579[[#This Row],[d (mm)]]*Table11234579[[#This Row],[pho (%)]])</f>
        <v>3.0474351902923331</v>
      </c>
      <c r="V22" s="111">
        <f>E22*224.8/(2*SQRT(Table11234579[[#This Row],[fc (Mpa)]]*145.037)*Table11234579[[#This Row],[b (mm)]]*Table11234579[[#This Row],[d (mm)]]*(1/25.4)^2)</f>
        <v>1.9196910133177751</v>
      </c>
      <c r="W22" s="111">
        <f>Table11234579[[#This Row],[M (KN.mm)]]/$G$26</f>
        <v>0.49887133182844245</v>
      </c>
      <c r="X22" s="111">
        <f t="shared" si="6"/>
        <v>1.9196910133177751</v>
      </c>
      <c r="Y22" s="111">
        <v>1500</v>
      </c>
      <c r="Z22" s="111">
        <v>925</v>
      </c>
      <c r="AA22" s="111">
        <v>1000</v>
      </c>
      <c r="AB22" s="111">
        <v>300</v>
      </c>
      <c r="AC22" s="7">
        <v>39</v>
      </c>
      <c r="AD22" s="111">
        <f>Table11234579[[#This Row],[pho (%)]]*Table11234579[[#This Row],[b (mm)]]*Table11234579[[#This Row],[h (mm)]]/100</f>
        <v>2940</v>
      </c>
      <c r="AE22" s="160">
        <f t="shared" si="4"/>
        <v>0.98</v>
      </c>
      <c r="AF22" s="160">
        <v>525</v>
      </c>
      <c r="AG22" s="111">
        <f>(1/3-0.21*(MIN(Table11234579[[#This Row],[b (mm)]],AA22)/MAX(Table11234579[[#This Row],[b (mm)]],AA22))*(MIN(Table11234579[[#This Row],[b (mm)]],AA22)^4/(12*MAX(Table11234579[[#This Row],[b (mm)]],AA22)^4)))*MAX(Table11234579[[#This Row],[b (mm)]],AA22)*MIN(Table11234579[[#This Row],[b (mm)]],AA22)^3</f>
        <v>8998851825</v>
      </c>
      <c r="AH22" s="111">
        <f>Table11234579[[#This Row],[b (mm)]]*AA22^3/12</f>
        <v>25000000000</v>
      </c>
      <c r="AI22" s="111">
        <v>3000</v>
      </c>
      <c r="AJ22" s="138"/>
      <c r="AK22" s="138"/>
      <c r="AL22" s="138"/>
      <c r="AM22" s="1"/>
    </row>
    <row r="23" spans="1:39" s="129" customFormat="1" x14ac:dyDescent="0.25">
      <c r="A23" s="164" t="s">
        <v>189</v>
      </c>
      <c r="B23" s="281">
        <v>4</v>
      </c>
      <c r="C23" s="281">
        <v>22</v>
      </c>
      <c r="D23" s="275">
        <f>Table11234579[[#This Row],[a (mm)]]/Table11234579[[#This Row],[d (mm)]]</f>
        <v>1.6216216216216217</v>
      </c>
      <c r="E23" s="282">
        <f>1432/2</f>
        <v>716</v>
      </c>
      <c r="F23" s="137">
        <f>Table11234579[[#This Row],[d (mm)]]</f>
        <v>925</v>
      </c>
      <c r="G23" s="111">
        <f t="shared" si="5"/>
        <v>1074000</v>
      </c>
      <c r="H23" s="111">
        <f t="shared" si="0"/>
        <v>1.6311788838438728E-6</v>
      </c>
      <c r="I23" s="111">
        <f>G23/(Table11234579[[#This Row],[b (mm)]]*Z23^2)</f>
        <v>4.1840759678597513E-3</v>
      </c>
      <c r="J23" s="111">
        <f t="shared" si="1"/>
        <v>0.75223911958605838</v>
      </c>
      <c r="K23" s="111">
        <f t="shared" si="2"/>
        <v>2.53393968632222E-6</v>
      </c>
      <c r="L23" s="111">
        <f>E23/(Table11234579[[#This Row],[b (mm)]]*Z23)</f>
        <v>2.5801801801801803E-3</v>
      </c>
      <c r="M23" s="111">
        <f>Table11234579[[#This Row],[M (KN.mm)]]/(Table11234579[[#This Row],[b (mm)]]*Table11234579[[#This Row],[d (mm)]])</f>
        <v>3.8702702702702703</v>
      </c>
      <c r="N23" s="111">
        <f>Table11234579[[#This Row],[M (KN.mm)]]/(Table11234579[[#This Row],[b (mm)]]*Table11234579[[#This Row],[h (mm)]])</f>
        <v>3.58</v>
      </c>
      <c r="O23" s="111">
        <f>Table11234579[[#This Row],[M (KN.mm)]]/(Table11234579[[#This Row],[b (mm)]]*Table11234579[[#This Row],[h (mm)]]*Table11234579[[#This Row],[L(mm)]])</f>
        <v>1.1933333333333334E-3</v>
      </c>
      <c r="P23" s="111">
        <f>Table11234579[[#This Row],[M (KN.mm)]]/(Table11234579[[#This Row],[b (mm)]]*Table11234579[[#This Row],[d (mm)]]*Table11234579[[#This Row],[L(mm)]])</f>
        <v>1.2900900900900901E-3</v>
      </c>
      <c r="Q23" s="111">
        <f>Table11234579[[#This Row],[M (KN.mm)]]/(Table11234579[[#This Row],[b (mm)]]*Table11234579[[#This Row],[h (mm)]]*Table11234579[[#This Row],[L(mm)]]*Table11234579[[#This Row],[fc (Mpa)]])</f>
        <v>3.0598290598290596E-5</v>
      </c>
      <c r="R23" s="111">
        <f>Table11234579[[#This Row],[M (KN.mm)]]/(Table11234579[[#This Row],[b (mm)]]*Table11234579[[#This Row],[h (mm)]]*Table11234579[[#This Row],[L(mm)]]/2)</f>
        <v>2.3866666666666667E-3</v>
      </c>
      <c r="S23" s="111">
        <f>Table11234579[[#This Row],[M (KN.mm)]]/(Table11234579[[#This Row],[a (mm)]]*Table11234579[[#This Row],[b (mm)]]*Table11234579[[#This Row],[h (mm)]]*Table11234579[[#This Row],[L(mm)]]/2)</f>
        <v>1.5911111111111111E-6</v>
      </c>
      <c r="T23" s="111">
        <f>G23/($AL$5*AH23*0.001*Table11234579[[#This Row],[pho (%)]])</f>
        <v>1.6644682488202783E-6</v>
      </c>
      <c r="U23" s="111">
        <f>Table11234579[[#This Row],[M (KN.mm)]]/(Table11234579[[#This Row],[b (mm)]]*Table11234579[[#This Row],[d (mm)]]*Table11234579[[#This Row],[pho (%)]])</f>
        <v>3.9492553778268062</v>
      </c>
      <c r="V23" s="111">
        <f>E23*224.8/(2*SQRT(Table11234579[[#This Row],[fc (Mpa)]]*145.037)*Table11234579[[#This Row],[b (mm)]]*Table11234579[[#This Row],[d (mm)]]*(1/25.4)^2)</f>
        <v>2.4877805711050263</v>
      </c>
      <c r="W23" s="111">
        <f>Table11234579[[#This Row],[M (KN.mm)]]/$G$26</f>
        <v>0.64650112866817155</v>
      </c>
      <c r="X23" s="111">
        <f t="shared" si="6"/>
        <v>2.4877805711050263</v>
      </c>
      <c r="Y23" s="111">
        <v>1500</v>
      </c>
      <c r="Z23" s="111">
        <v>925</v>
      </c>
      <c r="AA23" s="111">
        <v>1000</v>
      </c>
      <c r="AB23" s="111">
        <v>300</v>
      </c>
      <c r="AC23" s="7">
        <v>39</v>
      </c>
      <c r="AD23" s="111">
        <f>Table11234579[[#This Row],[pho (%)]]*Table11234579[[#This Row],[b (mm)]]*Table11234579[[#This Row],[h (mm)]]/100</f>
        <v>2940</v>
      </c>
      <c r="AE23" s="160">
        <f t="shared" si="4"/>
        <v>0.98</v>
      </c>
      <c r="AF23" s="160">
        <v>525</v>
      </c>
      <c r="AG23" s="111">
        <f>(1/3-0.21*(MIN(Table11234579[[#This Row],[b (mm)]],AA23)/MAX(Table11234579[[#This Row],[b (mm)]],AA23))*(MIN(Table11234579[[#This Row],[b (mm)]],AA23)^4/(12*MAX(Table11234579[[#This Row],[b (mm)]],AA23)^4)))*MAX(Table11234579[[#This Row],[b (mm)]],AA23)*MIN(Table11234579[[#This Row],[b (mm)]],AA23)^3</f>
        <v>8998851825</v>
      </c>
      <c r="AH23" s="111">
        <f>Table11234579[[#This Row],[b (mm)]]*AA23^3/12</f>
        <v>25000000000</v>
      </c>
      <c r="AI23" s="111">
        <v>3000</v>
      </c>
      <c r="AJ23" s="138"/>
      <c r="AK23" s="138"/>
      <c r="AL23" s="138"/>
      <c r="AM23" s="1"/>
    </row>
    <row r="24" spans="1:39" s="129" customFormat="1" x14ac:dyDescent="0.25">
      <c r="A24" s="164" t="s">
        <v>189</v>
      </c>
      <c r="B24" s="281">
        <v>5</v>
      </c>
      <c r="C24" s="281">
        <v>23</v>
      </c>
      <c r="D24" s="275">
        <f>Table11234579[[#This Row],[a (mm)]]/Table11234579[[#This Row],[d (mm)]]</f>
        <v>1.6216216216216217</v>
      </c>
      <c r="E24" s="282">
        <f>1711/2</f>
        <v>855.5</v>
      </c>
      <c r="F24" s="137">
        <f>Table11234579[[#This Row],[d (mm)]]</f>
        <v>925</v>
      </c>
      <c r="G24" s="111">
        <f t="shared" si="5"/>
        <v>1283250</v>
      </c>
      <c r="H24" s="111">
        <f t="shared" si="0"/>
        <v>1.948985384257588E-6</v>
      </c>
      <c r="I24" s="111">
        <f>G24/(Table11234579[[#This Row],[b (mm)]]*Z24^2)</f>
        <v>4.9992695398100801E-3</v>
      </c>
      <c r="J24" s="111">
        <f t="shared" si="1"/>
        <v>0.89879967430987839</v>
      </c>
      <c r="K24" s="111">
        <f t="shared" si="2"/>
        <v>3.0276332425260601E-6</v>
      </c>
      <c r="L24" s="111">
        <f>E24/(Table11234579[[#This Row],[b (mm)]]*Z24)</f>
        <v>3.082882882882883E-3</v>
      </c>
      <c r="M24" s="111">
        <f>Table11234579[[#This Row],[M (KN.mm)]]/(Table11234579[[#This Row],[b (mm)]]*Table11234579[[#This Row],[d (mm)]])</f>
        <v>4.6243243243243244</v>
      </c>
      <c r="N24" s="111">
        <f>Table11234579[[#This Row],[M (KN.mm)]]/(Table11234579[[#This Row],[b (mm)]]*Table11234579[[#This Row],[h (mm)]])</f>
        <v>4.2774999999999999</v>
      </c>
      <c r="O24" s="111">
        <f>Table11234579[[#This Row],[M (KN.mm)]]/(Table11234579[[#This Row],[b (mm)]]*Table11234579[[#This Row],[h (mm)]]*Table11234579[[#This Row],[L(mm)]])</f>
        <v>1.4258333333333334E-3</v>
      </c>
      <c r="P24" s="111">
        <f>Table11234579[[#This Row],[M (KN.mm)]]/(Table11234579[[#This Row],[b (mm)]]*Table11234579[[#This Row],[d (mm)]]*Table11234579[[#This Row],[L(mm)]])</f>
        <v>1.5414414414414415E-3</v>
      </c>
      <c r="Q24" s="111">
        <f>Table11234579[[#This Row],[M (KN.mm)]]/(Table11234579[[#This Row],[b (mm)]]*Table11234579[[#This Row],[h (mm)]]*Table11234579[[#This Row],[L(mm)]]*Table11234579[[#This Row],[fc (Mpa)]])</f>
        <v>3.6559829059829062E-5</v>
      </c>
      <c r="R24" s="111">
        <f>Table11234579[[#This Row],[M (KN.mm)]]/(Table11234579[[#This Row],[b (mm)]]*Table11234579[[#This Row],[h (mm)]]*Table11234579[[#This Row],[L(mm)]]/2)</f>
        <v>2.8516666666666668E-3</v>
      </c>
      <c r="S24" s="111">
        <f>Table11234579[[#This Row],[M (KN.mm)]]/(Table11234579[[#This Row],[a (mm)]]*Table11234579[[#This Row],[b (mm)]]*Table11234579[[#This Row],[h (mm)]]*Table11234579[[#This Row],[L(mm)]]/2)</f>
        <v>1.9011111111111111E-6</v>
      </c>
      <c r="T24" s="111">
        <f>G24/($AL$5*AH24*0.001*Table11234579[[#This Row],[pho (%)]])</f>
        <v>1.9887605961812122E-6</v>
      </c>
      <c r="U24" s="111">
        <f>Table11234579[[#This Row],[M (KN.mm)]]/(Table11234579[[#This Row],[b (mm)]]*Table11234579[[#This Row],[d (mm)]]*Table11234579[[#This Row],[pho (%)]])</f>
        <v>4.7186982901268619</v>
      </c>
      <c r="V24" s="111">
        <f>E24*224.8/(2*SQRT(Table11234579[[#This Row],[fc (Mpa)]]*145.037)*Table11234579[[#This Row],[b (mm)]]*Table11234579[[#This Row],[d (mm)]]*(1/25.4)^2)</f>
        <v>2.9724808360060755</v>
      </c>
      <c r="W24" s="111">
        <f>Table11234579[[#This Row],[M (KN.mm)]]/$G$26</f>
        <v>0.77246049661399552</v>
      </c>
      <c r="X24" s="111">
        <f t="shared" si="6"/>
        <v>2.9724808360060755</v>
      </c>
      <c r="Y24" s="111">
        <v>1500</v>
      </c>
      <c r="Z24" s="111">
        <v>925</v>
      </c>
      <c r="AA24" s="111">
        <v>1000</v>
      </c>
      <c r="AB24" s="111">
        <v>300</v>
      </c>
      <c r="AC24" s="7">
        <v>39</v>
      </c>
      <c r="AD24" s="111">
        <f>Table11234579[[#This Row],[pho (%)]]*Table11234579[[#This Row],[b (mm)]]*Table11234579[[#This Row],[h (mm)]]/100</f>
        <v>2940</v>
      </c>
      <c r="AE24" s="160">
        <f t="shared" si="4"/>
        <v>0.98</v>
      </c>
      <c r="AF24" s="160">
        <v>525</v>
      </c>
      <c r="AG24" s="111">
        <f>(1/3-0.21*(MIN(Table11234579[[#This Row],[b (mm)]],AA24)/MAX(Table11234579[[#This Row],[b (mm)]],AA24))*(MIN(Table11234579[[#This Row],[b (mm)]],AA24)^4/(12*MAX(Table11234579[[#This Row],[b (mm)]],AA24)^4)))*MAX(Table11234579[[#This Row],[b (mm)]],AA24)*MIN(Table11234579[[#This Row],[b (mm)]],AA24)^3</f>
        <v>8998851825</v>
      </c>
      <c r="AH24" s="111">
        <f>Table11234579[[#This Row],[b (mm)]]*AA24^3/12</f>
        <v>25000000000</v>
      </c>
      <c r="AI24" s="111">
        <v>3000</v>
      </c>
      <c r="AJ24" s="138"/>
      <c r="AK24" s="138"/>
      <c r="AL24" s="138"/>
      <c r="AM24" s="1"/>
    </row>
    <row r="25" spans="1:39" s="129" customFormat="1" x14ac:dyDescent="0.25">
      <c r="A25" s="164" t="s">
        <v>189</v>
      </c>
      <c r="B25" s="281">
        <v>6</v>
      </c>
      <c r="C25" s="281">
        <v>24</v>
      </c>
      <c r="D25" s="275">
        <f>Table11234579[[#This Row],[a (mm)]]/Table11234579[[#This Row],[d (mm)]]</f>
        <v>1.6216216216216217</v>
      </c>
      <c r="E25" s="282">
        <f>2009/2</f>
        <v>1004.5</v>
      </c>
      <c r="F25" s="137">
        <f>Table11234579[[#This Row],[d (mm)]]</f>
        <v>925</v>
      </c>
      <c r="G25" s="111">
        <f t="shared" si="5"/>
        <v>1506750</v>
      </c>
      <c r="H25" s="111">
        <f t="shared" si="0"/>
        <v>2.2884346212586175E-6</v>
      </c>
      <c r="I25" s="111">
        <f>G25/(Table11234579[[#This Row],[b (mm)]]*Z25^2)</f>
        <v>5.8699780861943022E-3</v>
      </c>
      <c r="J25" s="111">
        <f t="shared" si="1"/>
        <v>1.0553410553410554</v>
      </c>
      <c r="K25" s="111">
        <f t="shared" si="2"/>
        <v>3.5549475068584774E-6</v>
      </c>
      <c r="L25" s="111">
        <f>E25/(Table11234579[[#This Row],[b (mm)]]*Z25)</f>
        <v>3.6198198198198199E-3</v>
      </c>
      <c r="M25" s="111">
        <f>Table11234579[[#This Row],[M (KN.mm)]]/(Table11234579[[#This Row],[b (mm)]]*Table11234579[[#This Row],[d (mm)]])</f>
        <v>5.42972972972973</v>
      </c>
      <c r="N25" s="111">
        <f>Table11234579[[#This Row],[M (KN.mm)]]/(Table11234579[[#This Row],[b (mm)]]*Table11234579[[#This Row],[h (mm)]])</f>
        <v>5.0225</v>
      </c>
      <c r="O25" s="111">
        <f>Table11234579[[#This Row],[M (KN.mm)]]/(Table11234579[[#This Row],[b (mm)]]*Table11234579[[#This Row],[h (mm)]]*Table11234579[[#This Row],[L(mm)]])</f>
        <v>1.6741666666666667E-3</v>
      </c>
      <c r="P25" s="111">
        <f>Table11234579[[#This Row],[M (KN.mm)]]/(Table11234579[[#This Row],[b (mm)]]*Table11234579[[#This Row],[d (mm)]]*Table11234579[[#This Row],[L(mm)]])</f>
        <v>1.80990990990991E-3</v>
      </c>
      <c r="Q25" s="111">
        <f>Table11234579[[#This Row],[M (KN.mm)]]/(Table11234579[[#This Row],[b (mm)]]*Table11234579[[#This Row],[h (mm)]]*Table11234579[[#This Row],[L(mm)]]*Table11234579[[#This Row],[fc (Mpa)]])</f>
        <v>4.2927350427350424E-5</v>
      </c>
      <c r="R25" s="111">
        <f>Table11234579[[#This Row],[M (KN.mm)]]/(Table11234579[[#This Row],[b (mm)]]*Table11234579[[#This Row],[h (mm)]]*Table11234579[[#This Row],[L(mm)]]/2)</f>
        <v>3.3483333333333334E-3</v>
      </c>
      <c r="S25" s="111">
        <f>Table11234579[[#This Row],[M (KN.mm)]]/(Table11234579[[#This Row],[a (mm)]]*Table11234579[[#This Row],[b (mm)]]*Table11234579[[#This Row],[h (mm)]]*Table11234579[[#This Row],[L(mm)]]/2)</f>
        <v>2.2322222222222224E-6</v>
      </c>
      <c r="T25" s="111">
        <f>G25/($AL$5*AH25*0.001*Table11234579[[#This Row],[pho (%)]])</f>
        <v>2.3351373686312423E-6</v>
      </c>
      <c r="U25" s="111">
        <f>Table11234579[[#This Row],[M (KN.mm)]]/(Table11234579[[#This Row],[b (mm)]]*Table11234579[[#This Row],[d (mm)]]*Table11234579[[#This Row],[pho (%)]])</f>
        <v>5.5405405405405403</v>
      </c>
      <c r="V25" s="111">
        <f>E25*224.8/(2*SQRT(Table11234579[[#This Row],[fc (Mpa)]]*145.037)*Table11234579[[#This Row],[b (mm)]]*Table11234579[[#This Row],[d (mm)]]*(1/25.4)^2)</f>
        <v>3.4901893626745792</v>
      </c>
      <c r="W25" s="111">
        <f>Table11234579[[#This Row],[M (KN.mm)]]/$G$26</f>
        <v>0.90699774266365685</v>
      </c>
      <c r="X25" s="111">
        <f t="shared" si="6"/>
        <v>3.4901893626745792</v>
      </c>
      <c r="Y25" s="111">
        <v>1500</v>
      </c>
      <c r="Z25" s="111">
        <v>925</v>
      </c>
      <c r="AA25" s="111">
        <v>1000</v>
      </c>
      <c r="AB25" s="111">
        <v>300</v>
      </c>
      <c r="AC25" s="7">
        <v>39</v>
      </c>
      <c r="AD25" s="111">
        <f>Table11234579[[#This Row],[pho (%)]]*Table11234579[[#This Row],[b (mm)]]*Table11234579[[#This Row],[h (mm)]]/100</f>
        <v>2940</v>
      </c>
      <c r="AE25" s="160">
        <f t="shared" si="4"/>
        <v>0.98</v>
      </c>
      <c r="AF25" s="160">
        <v>525</v>
      </c>
      <c r="AG25" s="111">
        <f>(1/3-0.21*(MIN(Table11234579[[#This Row],[b (mm)]],AA25)/MAX(Table11234579[[#This Row],[b (mm)]],AA25))*(MIN(Table11234579[[#This Row],[b (mm)]],AA25)^4/(12*MAX(Table11234579[[#This Row],[b (mm)]],AA25)^4)))*MAX(Table11234579[[#This Row],[b (mm)]],AA25)*MIN(Table11234579[[#This Row],[b (mm)]],AA25)^3</f>
        <v>8998851825</v>
      </c>
      <c r="AH25" s="111">
        <f>Table11234579[[#This Row],[b (mm)]]*AA25^3/12</f>
        <v>25000000000</v>
      </c>
      <c r="AI25" s="111">
        <v>3000</v>
      </c>
      <c r="AJ25" s="138"/>
      <c r="AK25" s="138"/>
      <c r="AL25" s="138"/>
      <c r="AM25" s="1"/>
    </row>
    <row r="26" spans="1:39" s="129" customFormat="1" x14ac:dyDescent="0.25">
      <c r="A26" s="164" t="s">
        <v>189</v>
      </c>
      <c r="B26" s="281" t="s">
        <v>141</v>
      </c>
      <c r="C26" s="281">
        <v>25</v>
      </c>
      <c r="D26" s="275">
        <f>Table11234579[[#This Row],[a (mm)]]/Table11234579[[#This Row],[d (mm)]]</f>
        <v>1.6216216216216217</v>
      </c>
      <c r="E26" s="282">
        <f>2215/2</f>
        <v>1107.5</v>
      </c>
      <c r="F26" s="137">
        <f>Table11234579[[#This Row],[d (mm)]]</f>
        <v>925</v>
      </c>
      <c r="G26" s="111">
        <f t="shared" si="5"/>
        <v>1661250</v>
      </c>
      <c r="H26" s="111">
        <f t="shared" si="0"/>
        <v>2.5230874495210741E-6</v>
      </c>
      <c r="I26" s="111">
        <f>G26/(Table11234579[[#This Row],[b (mm)]]*Z26^2)</f>
        <v>6.4718772826880934E-3</v>
      </c>
      <c r="J26" s="111">
        <f t="shared" si="1"/>
        <v>1.1635542247787145</v>
      </c>
      <c r="K26" s="111">
        <f t="shared" si="2"/>
        <v>3.9194667634104173E-6</v>
      </c>
      <c r="L26" s="111">
        <f>E26/(Table11234579[[#This Row],[b (mm)]]*Z26)</f>
        <v>3.9909909909909913E-3</v>
      </c>
      <c r="M26" s="111">
        <f>Table11234579[[#This Row],[M (KN.mm)]]/(Table11234579[[#This Row],[b (mm)]]*Table11234579[[#This Row],[d (mm)]])</f>
        <v>5.9864864864864868</v>
      </c>
      <c r="N26" s="111">
        <f>Table11234579[[#This Row],[M (KN.mm)]]/(Table11234579[[#This Row],[b (mm)]]*Table11234579[[#This Row],[h (mm)]])</f>
        <v>5.5374999999999996</v>
      </c>
      <c r="O26" s="111">
        <f>Table11234579[[#This Row],[M (KN.mm)]]/(Table11234579[[#This Row],[b (mm)]]*Table11234579[[#This Row],[h (mm)]]*Table11234579[[#This Row],[L(mm)]])</f>
        <v>1.8458333333333334E-3</v>
      </c>
      <c r="P26" s="111">
        <f>Table11234579[[#This Row],[M (KN.mm)]]/(Table11234579[[#This Row],[b (mm)]]*Table11234579[[#This Row],[d (mm)]]*Table11234579[[#This Row],[L(mm)]])</f>
        <v>1.9954954954954957E-3</v>
      </c>
      <c r="Q26" s="111">
        <f>Table11234579[[#This Row],[M (KN.mm)]]/(Table11234579[[#This Row],[b (mm)]]*Table11234579[[#This Row],[h (mm)]]*Table11234579[[#This Row],[L(mm)]]*Table11234579[[#This Row],[fc (Mpa)]])</f>
        <v>4.7329059829059831E-5</v>
      </c>
      <c r="R26" s="111">
        <f>Table11234579[[#This Row],[M (KN.mm)]]/(Table11234579[[#This Row],[b (mm)]]*Table11234579[[#This Row],[h (mm)]]*Table11234579[[#This Row],[L(mm)]]/2)</f>
        <v>3.6916666666666669E-3</v>
      </c>
      <c r="S26" s="111">
        <f>Table11234579[[#This Row],[M (KN.mm)]]/(Table11234579[[#This Row],[a (mm)]]*Table11234579[[#This Row],[b (mm)]]*Table11234579[[#This Row],[h (mm)]]*Table11234579[[#This Row],[L(mm)]]/2)</f>
        <v>2.461111111111111E-6</v>
      </c>
      <c r="T26" s="111">
        <f>G26/($AL$5*AH26*0.001*Table11234579[[#This Row],[pho (%)]])</f>
        <v>2.5745790301235451E-6</v>
      </c>
      <c r="U26" s="111">
        <f>Table11234579[[#This Row],[M (KN.mm)]]/(Table11234579[[#This Row],[b (mm)]]*Table11234579[[#This Row],[d (mm)]]*Table11234579[[#This Row],[pho (%)]])</f>
        <v>6.1086596800882518</v>
      </c>
      <c r="V26" s="111">
        <f>E26*224.8/(2*SQRT(Table11234579[[#This Row],[fc (Mpa)]]*145.037)*Table11234579[[#This Row],[b (mm)]]*Table11234579[[#This Row],[d (mm)]]*(1/25.4)^2)</f>
        <v>3.8480684113111963</v>
      </c>
      <c r="W26" s="111">
        <f>Table11234579[[#This Row],[M (KN.mm)]]/$G$26</f>
        <v>1</v>
      </c>
      <c r="X26" s="111">
        <f t="shared" si="6"/>
        <v>3.8480684113111963</v>
      </c>
      <c r="Y26" s="111">
        <v>1500</v>
      </c>
      <c r="Z26" s="111">
        <v>925</v>
      </c>
      <c r="AA26" s="111">
        <v>1000</v>
      </c>
      <c r="AB26" s="111">
        <v>300</v>
      </c>
      <c r="AC26" s="7">
        <v>39</v>
      </c>
      <c r="AD26" s="111">
        <f>Table11234579[[#This Row],[pho (%)]]*Table11234579[[#This Row],[b (mm)]]*Table11234579[[#This Row],[h (mm)]]/100</f>
        <v>2940</v>
      </c>
      <c r="AE26" s="160">
        <f t="shared" si="4"/>
        <v>0.98</v>
      </c>
      <c r="AF26" s="160">
        <v>525</v>
      </c>
      <c r="AG26" s="111">
        <f>(1/3-0.21*(MIN(Table11234579[[#This Row],[b (mm)]],AA26)/MAX(Table11234579[[#This Row],[b (mm)]],AA26))*(MIN(Table11234579[[#This Row],[b (mm)]],AA26)^4/(12*MAX(Table11234579[[#This Row],[b (mm)]],AA26)^4)))*MAX(Table11234579[[#This Row],[b (mm)]],AA26)*MIN(Table11234579[[#This Row],[b (mm)]],AA26)^3</f>
        <v>8998851825</v>
      </c>
      <c r="AH26" s="111">
        <f>Table11234579[[#This Row],[b (mm)]]*AA26^3/12</f>
        <v>25000000000</v>
      </c>
      <c r="AI26" s="111">
        <v>3000</v>
      </c>
      <c r="AJ26" s="138"/>
      <c r="AK26" s="138"/>
      <c r="AL26" s="138"/>
      <c r="AM26" s="1"/>
    </row>
    <row r="27" spans="1:39" s="129" customFormat="1" x14ac:dyDescent="0.25">
      <c r="A27" s="150" t="s">
        <v>190</v>
      </c>
      <c r="B27" s="283">
        <v>1</v>
      </c>
      <c r="C27" s="283">
        <v>26</v>
      </c>
      <c r="D27" s="275">
        <f>Table11234579[[#This Row],[a (mm)]]/Table11234579[[#This Row],[d (mm)]]</f>
        <v>2.5945945945945947</v>
      </c>
      <c r="E27" s="284">
        <f>450.9/2</f>
        <v>225.45</v>
      </c>
      <c r="F27" s="137">
        <f>Table11234579[[#This Row],[d (mm)]]</f>
        <v>925</v>
      </c>
      <c r="G27" s="111">
        <f t="shared" si="5"/>
        <v>541080</v>
      </c>
      <c r="H27" s="111">
        <f t="shared" si="0"/>
        <v>8.2178609913430415E-7</v>
      </c>
      <c r="I27" s="111">
        <f>G27/(Table11234579[[#This Row],[b (mm)]]*Z27^2)</f>
        <v>2.1079327976625275E-3</v>
      </c>
      <c r="J27" s="111">
        <f t="shared" si="1"/>
        <v>0.37897722795681982</v>
      </c>
      <c r="K27" s="111">
        <f t="shared" si="2"/>
        <v>7.9787248921975482E-7</v>
      </c>
      <c r="L27" s="111">
        <f>E27/(Table11234579[[#This Row],[b (mm)]]*Z27)</f>
        <v>8.1243243243243239E-4</v>
      </c>
      <c r="M27" s="111">
        <f>Table11234579[[#This Row],[M (KN.mm)]]/(Table11234579[[#This Row],[b (mm)]]*Table11234579[[#This Row],[d (mm)]])</f>
        <v>1.9498378378378378</v>
      </c>
      <c r="N27" s="111">
        <f>Table11234579[[#This Row],[M (KN.mm)]]/(Table11234579[[#This Row],[b (mm)]]*Table11234579[[#This Row],[h (mm)]])</f>
        <v>1.8036000000000001</v>
      </c>
      <c r="O27" s="111">
        <f>Table11234579[[#This Row],[M (KN.mm)]]/(Table11234579[[#This Row],[b (mm)]]*Table11234579[[#This Row],[h (mm)]]*Table11234579[[#This Row],[L(mm)]])</f>
        <v>3.7575E-4</v>
      </c>
      <c r="P27" s="111">
        <f>Table11234579[[#This Row],[M (KN.mm)]]/(Table11234579[[#This Row],[b (mm)]]*Table11234579[[#This Row],[d (mm)]]*Table11234579[[#This Row],[L(mm)]])</f>
        <v>4.062162162162162E-4</v>
      </c>
      <c r="Q27" s="111">
        <f>Table11234579[[#This Row],[M (KN.mm)]]/(Table11234579[[#This Row],[b (mm)]]*Table11234579[[#This Row],[h (mm)]]*Table11234579[[#This Row],[L(mm)]]*Table11234579[[#This Row],[fc (Mpa)]])</f>
        <v>8.3499999999999997E-6</v>
      </c>
      <c r="R27" s="111">
        <f>Table11234579[[#This Row],[M (KN.mm)]]/(Table11234579[[#This Row],[b (mm)]]*Table11234579[[#This Row],[h (mm)]]*Table11234579[[#This Row],[L(mm)]]/2)</f>
        <v>7.515E-4</v>
      </c>
      <c r="S27" s="111">
        <f>Table11234579[[#This Row],[M (KN.mm)]]/(Table11234579[[#This Row],[a (mm)]]*Table11234579[[#This Row],[b (mm)]]*Table11234579[[#This Row],[h (mm)]]*Table11234579[[#This Row],[L(mm)]]/2)</f>
        <v>3.1312500000000002E-7</v>
      </c>
      <c r="T27" s="111">
        <f>G27/($AL$5*AH27*0.001*Table11234579[[#This Row],[pho (%)]])</f>
        <v>8.3855724401459609E-7</v>
      </c>
      <c r="U27" s="111">
        <f>Table11234579[[#This Row],[M (KN.mm)]]/(Table11234579[[#This Row],[b (mm)]]*Table11234579[[#This Row],[d (mm)]]*Table11234579[[#This Row],[pho (%)]])</f>
        <v>1.9896304467733039</v>
      </c>
      <c r="V27" s="111">
        <f>E27*224.8/(2*SQRT(Table11234579[[#This Row],[fc (Mpa)]]*145.037)*Table11234579[[#This Row],[b (mm)]]*Table11234579[[#This Row],[d (mm)]]*(1/25.4)^2)</f>
        <v>0.7292481494681029</v>
      </c>
      <c r="W27" s="111">
        <f>Table11234579[[#This Row],[M (KN.mm)]]/$G$34</f>
        <v>0.27277676950998186</v>
      </c>
      <c r="X27" s="111">
        <f t="shared" si="6"/>
        <v>0.7292481494681029</v>
      </c>
      <c r="Y27" s="111">
        <v>2400</v>
      </c>
      <c r="Z27" s="111">
        <v>925</v>
      </c>
      <c r="AA27" s="111">
        <v>1000</v>
      </c>
      <c r="AB27" s="111">
        <v>300</v>
      </c>
      <c r="AC27" s="7">
        <v>45</v>
      </c>
      <c r="AD27" s="111">
        <f>Table11234579[[#This Row],[pho (%)]]*Table11234579[[#This Row],[b (mm)]]*Table11234579[[#This Row],[h (mm)]]/100</f>
        <v>2940</v>
      </c>
      <c r="AE27" s="160">
        <f t="shared" si="4"/>
        <v>0.98</v>
      </c>
      <c r="AF27" s="160">
        <v>525</v>
      </c>
      <c r="AG27" s="111">
        <f>(1/3-0.21*(MIN(Table11234579[[#This Row],[b (mm)]],AA27)/MAX(Table11234579[[#This Row],[b (mm)]],AA27))*(MIN(Table11234579[[#This Row],[b (mm)]],AA27)^4/(12*MAX(Table11234579[[#This Row],[b (mm)]],AA27)^4)))*MAX(Table11234579[[#This Row],[b (mm)]],AA27)*MIN(Table11234579[[#This Row],[b (mm)]],AA27)^3</f>
        <v>8998851825</v>
      </c>
      <c r="AH27" s="111">
        <f>Table11234579[[#This Row],[b (mm)]]*AA27^3/12</f>
        <v>25000000000</v>
      </c>
      <c r="AI27" s="111">
        <v>4800</v>
      </c>
      <c r="AJ27" s="138"/>
      <c r="AK27" s="138"/>
      <c r="AL27" s="138"/>
      <c r="AM27" s="1"/>
    </row>
    <row r="28" spans="1:39" s="129" customFormat="1" x14ac:dyDescent="0.25">
      <c r="A28" s="150" t="s">
        <v>190</v>
      </c>
      <c r="B28" s="283">
        <v>2</v>
      </c>
      <c r="C28" s="283">
        <v>27</v>
      </c>
      <c r="D28" s="275">
        <f>Table11234579[[#This Row],[a (mm)]]/Table11234579[[#This Row],[d (mm)]]</f>
        <v>2.5945945945945947</v>
      </c>
      <c r="E28" s="284">
        <f>534.1/2</f>
        <v>267.05</v>
      </c>
      <c r="F28" s="137">
        <f>Table11234579[[#This Row],[d (mm)]]</f>
        <v>925</v>
      </c>
      <c r="G28" s="111">
        <f t="shared" si="5"/>
        <v>640920</v>
      </c>
      <c r="H28" s="111">
        <f t="shared" si="0"/>
        <v>9.7342194621342166E-7</v>
      </c>
      <c r="I28" s="111">
        <f>G28/(Table11234579[[#This Row],[b (mm)]]*Z28^2)</f>
        <v>2.4968882395909422E-3</v>
      </c>
      <c r="J28" s="111">
        <f t="shared" si="1"/>
        <v>0.4489060489060489</v>
      </c>
      <c r="K28" s="111">
        <f t="shared" si="2"/>
        <v>9.4509580060383917E-7</v>
      </c>
      <c r="L28" s="111">
        <f>E28/(Table11234579[[#This Row],[b (mm)]]*Z28)</f>
        <v>9.6234234234234234E-4</v>
      </c>
      <c r="M28" s="111">
        <f>Table11234579[[#This Row],[M (KN.mm)]]/(Table11234579[[#This Row],[b (mm)]]*Table11234579[[#This Row],[d (mm)]])</f>
        <v>2.3096216216216217</v>
      </c>
      <c r="N28" s="111">
        <f>Table11234579[[#This Row],[M (KN.mm)]]/(Table11234579[[#This Row],[b (mm)]]*Table11234579[[#This Row],[h (mm)]])</f>
        <v>2.1364000000000001</v>
      </c>
      <c r="O28" s="111">
        <f>Table11234579[[#This Row],[M (KN.mm)]]/(Table11234579[[#This Row],[b (mm)]]*Table11234579[[#This Row],[h (mm)]]*Table11234579[[#This Row],[L(mm)]])</f>
        <v>4.4508333333333336E-4</v>
      </c>
      <c r="P28" s="111">
        <f>Table11234579[[#This Row],[M (KN.mm)]]/(Table11234579[[#This Row],[b (mm)]]*Table11234579[[#This Row],[d (mm)]]*Table11234579[[#This Row],[L(mm)]])</f>
        <v>4.8117117117117117E-4</v>
      </c>
      <c r="Q28" s="111">
        <f>Table11234579[[#This Row],[M (KN.mm)]]/(Table11234579[[#This Row],[b (mm)]]*Table11234579[[#This Row],[h (mm)]]*Table11234579[[#This Row],[L(mm)]]*Table11234579[[#This Row],[fc (Mpa)]])</f>
        <v>9.8907407407407405E-6</v>
      </c>
      <c r="R28" s="111">
        <f>Table11234579[[#This Row],[M (KN.mm)]]/(Table11234579[[#This Row],[b (mm)]]*Table11234579[[#This Row],[h (mm)]]*Table11234579[[#This Row],[L(mm)]]/2)</f>
        <v>8.9016666666666671E-4</v>
      </c>
      <c r="S28" s="111">
        <f>Table11234579[[#This Row],[M (KN.mm)]]/(Table11234579[[#This Row],[a (mm)]]*Table11234579[[#This Row],[b (mm)]]*Table11234579[[#This Row],[h (mm)]]*Table11234579[[#This Row],[L(mm)]]/2)</f>
        <v>3.7090277777777777E-7</v>
      </c>
      <c r="T28" s="111">
        <f>G28/($AL$5*AH28*0.001*Table11234579[[#This Row],[pho (%)]])</f>
        <v>9.9328770021777719E-7</v>
      </c>
      <c r="U28" s="111">
        <f>Table11234579[[#This Row],[M (KN.mm)]]/(Table11234579[[#This Row],[b (mm)]]*Table11234579[[#This Row],[d (mm)]]*Table11234579[[#This Row],[pho (%)]])</f>
        <v>2.3567567567567567</v>
      </c>
      <c r="V28" s="111">
        <f>E28*224.8/(2*SQRT(Table11234579[[#This Row],[fc (Mpa)]]*145.037)*Table11234579[[#This Row],[b (mm)]]*Table11234579[[#This Row],[d (mm)]]*(1/25.4)^2)</f>
        <v>0.86380890803041421</v>
      </c>
      <c r="W28" s="111">
        <f>Table11234579[[#This Row],[M (KN.mm)]]/$G$34</f>
        <v>0.32310949788263765</v>
      </c>
      <c r="X28" s="111">
        <f t="shared" si="6"/>
        <v>0.86380890803041421</v>
      </c>
      <c r="Y28" s="111">
        <v>2400</v>
      </c>
      <c r="Z28" s="111">
        <v>925</v>
      </c>
      <c r="AA28" s="111">
        <v>1000</v>
      </c>
      <c r="AB28" s="111">
        <v>300</v>
      </c>
      <c r="AC28" s="7">
        <v>45</v>
      </c>
      <c r="AD28" s="111">
        <f>Table11234579[[#This Row],[pho (%)]]*Table11234579[[#This Row],[b (mm)]]*Table11234579[[#This Row],[h (mm)]]/100</f>
        <v>2940</v>
      </c>
      <c r="AE28" s="160">
        <f t="shared" si="4"/>
        <v>0.98</v>
      </c>
      <c r="AF28" s="160">
        <v>525</v>
      </c>
      <c r="AG28" s="111">
        <f>(1/3-0.21*(MIN(Table11234579[[#This Row],[b (mm)]],AA28)/MAX(Table11234579[[#This Row],[b (mm)]],AA28))*(MIN(Table11234579[[#This Row],[b (mm)]],AA28)^4/(12*MAX(Table11234579[[#This Row],[b (mm)]],AA28)^4)))*MAX(Table11234579[[#This Row],[b (mm)]],AA28)*MIN(Table11234579[[#This Row],[b (mm)]],AA28)^3</f>
        <v>8998851825</v>
      </c>
      <c r="AH28" s="111">
        <f>Table11234579[[#This Row],[b (mm)]]*AA28^3/12</f>
        <v>25000000000</v>
      </c>
      <c r="AI28" s="111">
        <v>4800</v>
      </c>
      <c r="AJ28" s="138"/>
      <c r="AK28" s="138"/>
      <c r="AL28" s="138"/>
      <c r="AM28" s="1"/>
    </row>
    <row r="29" spans="1:39" s="129" customFormat="1" x14ac:dyDescent="0.25">
      <c r="A29" s="150" t="s">
        <v>190</v>
      </c>
      <c r="B29" s="283">
        <v>3</v>
      </c>
      <c r="C29" s="283">
        <v>28</v>
      </c>
      <c r="D29" s="275">
        <f>Table11234579[[#This Row],[a (mm)]]/Table11234579[[#This Row],[d (mm)]]</f>
        <v>2.5945945945945947</v>
      </c>
      <c r="E29" s="284">
        <f>586.2/2</f>
        <v>293.10000000000002</v>
      </c>
      <c r="F29" s="137">
        <f>Table11234579[[#This Row],[d (mm)]]</f>
        <v>925</v>
      </c>
      <c r="G29" s="111">
        <f t="shared" si="5"/>
        <v>703440</v>
      </c>
      <c r="H29" s="111">
        <f t="shared" si="0"/>
        <v>1.0683766052617634E-6</v>
      </c>
      <c r="I29" s="111">
        <f>G29/(Table11234579[[#This Row],[b (mm)]]*Z29^2)</f>
        <v>2.7404528853177501E-3</v>
      </c>
      <c r="J29" s="111">
        <f t="shared" si="1"/>
        <v>0.49269561106295801</v>
      </c>
      <c r="K29" s="111">
        <f t="shared" si="2"/>
        <v>1.0372873213143054E-6</v>
      </c>
      <c r="L29" s="111">
        <f>E29/(Table11234579[[#This Row],[b (mm)]]*Z29)</f>
        <v>1.0562162162162164E-3</v>
      </c>
      <c r="M29" s="111">
        <f>Table11234579[[#This Row],[M (KN.mm)]]/(Table11234579[[#This Row],[b (mm)]]*Table11234579[[#This Row],[d (mm)]])</f>
        <v>2.534918918918919</v>
      </c>
      <c r="N29" s="111">
        <f>Table11234579[[#This Row],[M (KN.mm)]]/(Table11234579[[#This Row],[b (mm)]]*Table11234579[[#This Row],[h (mm)]])</f>
        <v>2.3448000000000002</v>
      </c>
      <c r="O29" s="111">
        <f>Table11234579[[#This Row],[M (KN.mm)]]/(Table11234579[[#This Row],[b (mm)]]*Table11234579[[#This Row],[h (mm)]]*Table11234579[[#This Row],[L(mm)]])</f>
        <v>4.885E-4</v>
      </c>
      <c r="P29" s="111">
        <f>Table11234579[[#This Row],[M (KN.mm)]]/(Table11234579[[#This Row],[b (mm)]]*Table11234579[[#This Row],[d (mm)]]*Table11234579[[#This Row],[L(mm)]])</f>
        <v>5.2810810810810808E-4</v>
      </c>
      <c r="Q29" s="111">
        <f>Table11234579[[#This Row],[M (KN.mm)]]/(Table11234579[[#This Row],[b (mm)]]*Table11234579[[#This Row],[h (mm)]]*Table11234579[[#This Row],[L(mm)]]*Table11234579[[#This Row],[fc (Mpa)]])</f>
        <v>1.0855555555555556E-5</v>
      </c>
      <c r="R29" s="111">
        <f>Table11234579[[#This Row],[M (KN.mm)]]/(Table11234579[[#This Row],[b (mm)]]*Table11234579[[#This Row],[h (mm)]]*Table11234579[[#This Row],[L(mm)]]/2)</f>
        <v>9.77E-4</v>
      </c>
      <c r="S29" s="111">
        <f>Table11234579[[#This Row],[M (KN.mm)]]/(Table11234579[[#This Row],[a (mm)]]*Table11234579[[#This Row],[b (mm)]]*Table11234579[[#This Row],[h (mm)]]*Table11234579[[#This Row],[L(mm)]]/2)</f>
        <v>4.0708333333333334E-7</v>
      </c>
      <c r="T29" s="111">
        <f>G29/($AL$5*AH29*0.001*Table11234579[[#This Row],[pho (%)]])</f>
        <v>1.0901802094507789E-6</v>
      </c>
      <c r="U29" s="111">
        <f>Table11234579[[#This Row],[M (KN.mm)]]/(Table11234579[[#This Row],[b (mm)]]*Table11234579[[#This Row],[d (mm)]]*Table11234579[[#This Row],[pho (%)]])</f>
        <v>2.5866519580805294</v>
      </c>
      <c r="V29" s="111">
        <f>E29*224.8/(2*SQRT(Table11234579[[#This Row],[fc (Mpa)]]*145.037)*Table11234579[[#This Row],[b (mm)]]*Table11234579[[#This Row],[d (mm)]]*(1/25.4)^2)</f>
        <v>0.94807111381282305</v>
      </c>
      <c r="W29" s="111">
        <f>Table11234579[[#This Row],[M (KN.mm)]]/$G$34</f>
        <v>0.35462794918330309</v>
      </c>
      <c r="X29" s="111">
        <f t="shared" si="6"/>
        <v>0.94807111381282305</v>
      </c>
      <c r="Y29" s="111">
        <v>2400</v>
      </c>
      <c r="Z29" s="111">
        <v>925</v>
      </c>
      <c r="AA29" s="111">
        <v>1000</v>
      </c>
      <c r="AB29" s="111">
        <v>300</v>
      </c>
      <c r="AC29" s="7">
        <v>45</v>
      </c>
      <c r="AD29" s="111">
        <f>Table11234579[[#This Row],[pho (%)]]*Table11234579[[#This Row],[b (mm)]]*Table11234579[[#This Row],[h (mm)]]/100</f>
        <v>2940</v>
      </c>
      <c r="AE29" s="160">
        <f t="shared" si="4"/>
        <v>0.98</v>
      </c>
      <c r="AF29" s="160">
        <v>525</v>
      </c>
      <c r="AG29" s="111">
        <f>(1/3-0.21*(MIN(Table11234579[[#This Row],[b (mm)]],AA29)/MAX(Table11234579[[#This Row],[b (mm)]],AA29))*(MIN(Table11234579[[#This Row],[b (mm)]],AA29)^4/(12*MAX(Table11234579[[#This Row],[b (mm)]],AA29)^4)))*MAX(Table11234579[[#This Row],[b (mm)]],AA29)*MIN(Table11234579[[#This Row],[b (mm)]],AA29)^3</f>
        <v>8998851825</v>
      </c>
      <c r="AH29" s="111">
        <f>Table11234579[[#This Row],[b (mm)]]*AA29^3/12</f>
        <v>25000000000</v>
      </c>
      <c r="AI29" s="111">
        <v>4800</v>
      </c>
      <c r="AJ29" s="138"/>
      <c r="AK29" s="138"/>
      <c r="AL29" s="138"/>
      <c r="AM29" s="1"/>
    </row>
    <row r="30" spans="1:39" s="129" customFormat="1" x14ac:dyDescent="0.25">
      <c r="A30" s="150" t="s">
        <v>190</v>
      </c>
      <c r="B30" s="283">
        <v>4</v>
      </c>
      <c r="C30" s="283">
        <v>29</v>
      </c>
      <c r="D30" s="275">
        <f>Table11234579[[#This Row],[a (mm)]]/Table11234579[[#This Row],[d (mm)]]</f>
        <v>2.5945945945945947</v>
      </c>
      <c r="E30" s="284">
        <f>645.9/2</f>
        <v>322.95</v>
      </c>
      <c r="F30" s="137">
        <f>Table11234579[[#This Row],[d (mm)]]</f>
        <v>925</v>
      </c>
      <c r="G30" s="111">
        <f>E30*Y30</f>
        <v>775080</v>
      </c>
      <c r="H30" s="111">
        <f t="shared" si="0"/>
        <v>1.1771826157259859E-6</v>
      </c>
      <c r="I30" s="111">
        <f>G30/(Table11234579[[#This Row],[b (mm)]]*Z30^2)</f>
        <v>3.0195471146822498E-3</v>
      </c>
      <c r="J30" s="111">
        <f t="shared" si="1"/>
        <v>0.54287290205657557</v>
      </c>
      <c r="K30" s="111">
        <f>E30/($AL$4*AG30*0.001)</f>
        <v>1.1429271252762023E-6</v>
      </c>
      <c r="L30" s="111">
        <f>E30/(Table11234579[[#This Row],[b (mm)]]*Z30)</f>
        <v>1.1637837837837838E-3</v>
      </c>
      <c r="M30" s="111">
        <f>Table11234579[[#This Row],[M (KN.mm)]]/(Table11234579[[#This Row],[b (mm)]]*Table11234579[[#This Row],[d (mm)]])</f>
        <v>2.7930810810810809</v>
      </c>
      <c r="N30" s="111">
        <f>Table11234579[[#This Row],[M (KN.mm)]]/(Table11234579[[#This Row],[b (mm)]]*Table11234579[[#This Row],[h (mm)]])</f>
        <v>2.5836000000000001</v>
      </c>
      <c r="O30" s="111">
        <f>Table11234579[[#This Row],[M (KN.mm)]]/(Table11234579[[#This Row],[b (mm)]]*Table11234579[[#This Row],[h (mm)]]*Table11234579[[#This Row],[L(mm)]])</f>
        <v>5.3824999999999999E-4</v>
      </c>
      <c r="P30" s="111">
        <f>Table11234579[[#This Row],[M (KN.mm)]]/(Table11234579[[#This Row],[b (mm)]]*Table11234579[[#This Row],[d (mm)]]*Table11234579[[#This Row],[L(mm)]])</f>
        <v>5.818918918918919E-4</v>
      </c>
      <c r="Q30" s="111">
        <f>Table11234579[[#This Row],[M (KN.mm)]]/(Table11234579[[#This Row],[b (mm)]]*Table11234579[[#This Row],[h (mm)]]*Table11234579[[#This Row],[L(mm)]]*Table11234579[[#This Row],[fc (Mpa)]])</f>
        <v>1.196111111111111E-5</v>
      </c>
      <c r="R30" s="111">
        <f>Table11234579[[#This Row],[M (KN.mm)]]/(Table11234579[[#This Row],[b (mm)]]*Table11234579[[#This Row],[h (mm)]]*Table11234579[[#This Row],[L(mm)]]/2)</f>
        <v>1.0765E-3</v>
      </c>
      <c r="S30" s="111">
        <f>Table11234579[[#This Row],[M (KN.mm)]]/(Table11234579[[#This Row],[a (mm)]]*Table11234579[[#This Row],[b (mm)]]*Table11234579[[#This Row],[h (mm)]]*Table11234579[[#This Row],[L(mm)]]/2)</f>
        <v>4.4854166666666668E-7</v>
      </c>
      <c r="T30" s="111">
        <f>G30/($AL$5*AH30*0.001*Table11234579[[#This Row],[pho (%)]])</f>
        <v>1.2012067507408021E-6</v>
      </c>
      <c r="U30" s="111">
        <f>Table11234579[[#This Row],[M (KN.mm)]]/(Table11234579[[#This Row],[b (mm)]]*Table11234579[[#This Row],[d (mm)]]*Table11234579[[#This Row],[pho (%)]])</f>
        <v>2.8500827357970215</v>
      </c>
      <c r="V30" s="111">
        <f>E30*224.8/(2*SQRT(Table11234579[[#This Row],[fc (Mpa)]]*145.037)*Table11234579[[#This Row],[b (mm)]]*Table11234579[[#This Row],[d (mm)]]*(1/25.4)^2)</f>
        <v>1.04462492734852</v>
      </c>
      <c r="W30" s="111">
        <f>Table11234579[[#This Row],[M (KN.mm)]]/$G$34</f>
        <v>0.39074410163339385</v>
      </c>
      <c r="X30" s="111">
        <f t="shared" si="6"/>
        <v>1.04462492734852</v>
      </c>
      <c r="Y30" s="111">
        <v>2400</v>
      </c>
      <c r="Z30" s="111">
        <v>925</v>
      </c>
      <c r="AA30" s="111">
        <v>1000</v>
      </c>
      <c r="AB30" s="111">
        <v>300</v>
      </c>
      <c r="AC30" s="7">
        <v>45</v>
      </c>
      <c r="AD30" s="111">
        <f>Table11234579[[#This Row],[pho (%)]]*Table11234579[[#This Row],[b (mm)]]*Table11234579[[#This Row],[h (mm)]]/100</f>
        <v>2940</v>
      </c>
      <c r="AE30" s="160">
        <f t="shared" si="4"/>
        <v>0.98</v>
      </c>
      <c r="AF30" s="160">
        <v>525</v>
      </c>
      <c r="AG30" s="111">
        <f>(1/3-0.21*(MIN(Table11234579[[#This Row],[b (mm)]],AA30)/MAX(Table11234579[[#This Row],[b (mm)]],AA30))*(MIN(Table11234579[[#This Row],[b (mm)]],AA30)^4/(12*MAX(Table11234579[[#This Row],[b (mm)]],AA30)^4)))*MAX(Table11234579[[#This Row],[b (mm)]],AA30)*MIN(Table11234579[[#This Row],[b (mm)]],AA30)^3</f>
        <v>8998851825</v>
      </c>
      <c r="AH30" s="111">
        <f>Table11234579[[#This Row],[b (mm)]]*AA30^3/12</f>
        <v>25000000000</v>
      </c>
      <c r="AI30" s="111">
        <v>4800</v>
      </c>
      <c r="AJ30" s="138"/>
      <c r="AK30" s="138"/>
      <c r="AL30" s="138"/>
      <c r="AM30" s="1"/>
    </row>
    <row r="31" spans="1:39" x14ac:dyDescent="0.25">
      <c r="A31" s="150" t="s">
        <v>190</v>
      </c>
      <c r="B31" s="283">
        <v>5</v>
      </c>
      <c r="C31" s="283">
        <v>30</v>
      </c>
      <c r="D31" s="275">
        <f>Table11234579[[#This Row],[a (mm)]]/Table11234579[[#This Row],[d (mm)]]</f>
        <v>2.5945945945945947</v>
      </c>
      <c r="E31" s="284">
        <f>683/2</f>
        <v>341.5</v>
      </c>
      <c r="F31" s="137">
        <f>Table11234579[[#This Row],[d (mm)]]</f>
        <v>925</v>
      </c>
      <c r="G31" s="111">
        <f>E31*Y31</f>
        <v>819600</v>
      </c>
      <c r="H31" s="111">
        <f t="shared" si="0"/>
        <v>1.2447990811903521E-6</v>
      </c>
      <c r="I31" s="111">
        <f>G31/(Table11234579[[#This Row],[b (mm)]]*Z31^2)</f>
        <v>3.1929875821767712E-3</v>
      </c>
      <c r="J31" s="111">
        <f t="shared" si="1"/>
        <v>0.57405510466734955</v>
      </c>
      <c r="K31" s="111">
        <f>E31/($AL$4*AG31*0.001)</f>
        <v>1.2085759816746342E-6</v>
      </c>
      <c r="L31" s="111">
        <f>E31/(Table11234579[[#This Row],[b (mm)]]*Z31)</f>
        <v>1.2306306306306305E-3</v>
      </c>
      <c r="M31" s="111">
        <f>Table11234579[[#This Row],[M (KN.mm)]]/(Table11234579[[#This Row],[b (mm)]]*Table11234579[[#This Row],[d (mm)]])</f>
        <v>2.9535135135135135</v>
      </c>
      <c r="N31" s="111">
        <f>Table11234579[[#This Row],[M (KN.mm)]]/(Table11234579[[#This Row],[b (mm)]]*Table11234579[[#This Row],[h (mm)]])</f>
        <v>2.7320000000000002</v>
      </c>
      <c r="O31" s="111">
        <f>Table11234579[[#This Row],[M (KN.mm)]]/(Table11234579[[#This Row],[b (mm)]]*Table11234579[[#This Row],[h (mm)]]*Table11234579[[#This Row],[L(mm)]])</f>
        <v>5.6916666666666671E-4</v>
      </c>
      <c r="P31" s="111">
        <f>Table11234579[[#This Row],[M (KN.mm)]]/(Table11234579[[#This Row],[b (mm)]]*Table11234579[[#This Row],[d (mm)]]*Table11234579[[#This Row],[L(mm)]])</f>
        <v>6.1531531531531527E-4</v>
      </c>
      <c r="Q31" s="111">
        <f>Table11234579[[#This Row],[M (KN.mm)]]/(Table11234579[[#This Row],[b (mm)]]*Table11234579[[#This Row],[h (mm)]]*Table11234579[[#This Row],[L(mm)]]*Table11234579[[#This Row],[fc (Mpa)]])</f>
        <v>1.2648148148148148E-5</v>
      </c>
      <c r="R31" s="111">
        <f>Table11234579[[#This Row],[M (KN.mm)]]/(Table11234579[[#This Row],[b (mm)]]*Table11234579[[#This Row],[h (mm)]]*Table11234579[[#This Row],[L(mm)]]/2)</f>
        <v>1.1383333333333334E-3</v>
      </c>
      <c r="S31" s="111">
        <f>Table11234579[[#This Row],[M (KN.mm)]]/(Table11234579[[#This Row],[a (mm)]]*Table11234579[[#This Row],[b (mm)]]*Table11234579[[#This Row],[h (mm)]]*Table11234579[[#This Row],[L(mm)]]/2)</f>
        <v>4.7430555555555556E-7</v>
      </c>
      <c r="T31" s="111">
        <f>G31/($AL$5*AH31*0.001*Table11234579[[#This Row],[pho (%)]])</f>
        <v>1.2702031440717878E-6</v>
      </c>
      <c r="U31" s="111">
        <f>Table11234579[[#This Row],[M (KN.mm)]]/(Table11234579[[#This Row],[b (mm)]]*Table11234579[[#This Row],[d (mm)]]*Table11234579[[#This Row],[pho (%)]])</f>
        <v>3.0137892995035851</v>
      </c>
      <c r="V31" s="111">
        <f>E31*224.8/(2*SQRT(Table11234579[[#This Row],[fc (Mpa)]]*145.037)*Table11234579[[#This Row],[b (mm)]]*Table11234579[[#This Row],[d (mm)]]*(1/25.4)^2)</f>
        <v>1.1046273809862812</v>
      </c>
      <c r="W31" s="111">
        <f>Table11234579[[#This Row],[M (KN.mm)]]/$G$34</f>
        <v>0.41318814277071991</v>
      </c>
      <c r="X31" s="111">
        <f t="shared" si="6"/>
        <v>1.1046273809862812</v>
      </c>
      <c r="Y31" s="111">
        <v>2400</v>
      </c>
      <c r="Z31" s="111">
        <v>925</v>
      </c>
      <c r="AA31" s="111">
        <v>1000</v>
      </c>
      <c r="AB31" s="111">
        <v>300</v>
      </c>
      <c r="AC31" s="7">
        <v>45</v>
      </c>
      <c r="AD31" s="111">
        <f>Table11234579[[#This Row],[pho (%)]]*Table11234579[[#This Row],[b (mm)]]*Table11234579[[#This Row],[h (mm)]]/100</f>
        <v>2940</v>
      </c>
      <c r="AE31" s="160">
        <f t="shared" si="4"/>
        <v>0.98</v>
      </c>
      <c r="AF31" s="160">
        <v>525</v>
      </c>
      <c r="AG31" s="111">
        <f>(1/3-0.21*(MIN(Table11234579[[#This Row],[b (mm)]],AA31)/MAX(Table11234579[[#This Row],[b (mm)]],AA31))*(MIN(Table11234579[[#This Row],[b (mm)]],AA31)^4/(12*MAX(Table11234579[[#This Row],[b (mm)]],AA31)^4)))*MAX(Table11234579[[#This Row],[b (mm)]],AA31)*MIN(Table11234579[[#This Row],[b (mm)]],AA31)^3</f>
        <v>8998851825</v>
      </c>
      <c r="AH31" s="111">
        <f>Table11234579[[#This Row],[b (mm)]]*AA31^3/12</f>
        <v>25000000000</v>
      </c>
      <c r="AI31" s="111">
        <v>4800</v>
      </c>
      <c r="AJ31" s="1"/>
      <c r="AK31" s="1"/>
    </row>
    <row r="32" spans="1:39" x14ac:dyDescent="0.25">
      <c r="A32" s="150" t="s">
        <v>190</v>
      </c>
      <c r="B32" s="283">
        <v>6</v>
      </c>
      <c r="C32" s="283">
        <v>31</v>
      </c>
      <c r="D32" s="275">
        <f>Table11234579[[#This Row],[a (mm)]]/Table11234579[[#This Row],[d (mm)]]</f>
        <v>2.5945945945945947</v>
      </c>
      <c r="E32" s="284">
        <f>794/2</f>
        <v>397</v>
      </c>
      <c r="F32" s="137">
        <f>Table11234579[[#This Row],[d (mm)]]</f>
        <v>925</v>
      </c>
      <c r="G32" s="111">
        <f t="shared" si="5"/>
        <v>952800</v>
      </c>
      <c r="H32" s="111">
        <f t="shared" si="0"/>
        <v>1.4471017137117709E-6</v>
      </c>
      <c r="I32" s="111">
        <f>G32/(Table11234579[[#This Row],[b (mm)]]*Z32^2)</f>
        <v>3.7119065010956902E-3</v>
      </c>
      <c r="J32" s="111">
        <f t="shared" si="1"/>
        <v>0.667349565308749</v>
      </c>
      <c r="K32" s="111">
        <f t="shared" si="2"/>
        <v>1.4049916975836891E-6</v>
      </c>
      <c r="L32" s="111">
        <f>E32/(Table11234579[[#This Row],[b (mm)]]*Z32)</f>
        <v>1.4306306306306306E-3</v>
      </c>
      <c r="M32" s="111">
        <f>Table11234579[[#This Row],[M (KN.mm)]]/(Table11234579[[#This Row],[b (mm)]]*Table11234579[[#This Row],[d (mm)]])</f>
        <v>3.4335135135135135</v>
      </c>
      <c r="N32" s="111">
        <f>Table11234579[[#This Row],[M (KN.mm)]]/(Table11234579[[#This Row],[b (mm)]]*Table11234579[[#This Row],[h (mm)]])</f>
        <v>3.1760000000000002</v>
      </c>
      <c r="O32" s="111">
        <f>Table11234579[[#This Row],[M (KN.mm)]]/(Table11234579[[#This Row],[b (mm)]]*Table11234579[[#This Row],[h (mm)]]*Table11234579[[#This Row],[L(mm)]])</f>
        <v>6.6166666666666663E-4</v>
      </c>
      <c r="P32" s="111">
        <f>Table11234579[[#This Row],[M (KN.mm)]]/(Table11234579[[#This Row],[b (mm)]]*Table11234579[[#This Row],[d (mm)]]*Table11234579[[#This Row],[L(mm)]])</f>
        <v>7.1531531531531531E-4</v>
      </c>
      <c r="Q32" s="111">
        <f>Table11234579[[#This Row],[M (KN.mm)]]/(Table11234579[[#This Row],[b (mm)]]*Table11234579[[#This Row],[h (mm)]]*Table11234579[[#This Row],[L(mm)]]*Table11234579[[#This Row],[fc (Mpa)]])</f>
        <v>1.4703703703703703E-5</v>
      </c>
      <c r="R32" s="111">
        <f>Table11234579[[#This Row],[M (KN.mm)]]/(Table11234579[[#This Row],[b (mm)]]*Table11234579[[#This Row],[h (mm)]]*Table11234579[[#This Row],[L(mm)]]/2)</f>
        <v>1.3233333333333333E-3</v>
      </c>
      <c r="S32" s="111">
        <f>Table11234579[[#This Row],[M (KN.mm)]]/(Table11234579[[#This Row],[a (mm)]]*Table11234579[[#This Row],[b (mm)]]*Table11234579[[#This Row],[h (mm)]]*Table11234579[[#This Row],[L(mm)]]/2)</f>
        <v>5.5138888888888893E-7</v>
      </c>
      <c r="T32" s="111">
        <f>G32/($AL$5*AH32*0.001*Table11234579[[#This Row],[pho (%)]])</f>
        <v>1.476634401746705E-6</v>
      </c>
      <c r="U32" s="111">
        <f>Table11234579[[#This Row],[M (KN.mm)]]/(Table11234579[[#This Row],[b (mm)]]*Table11234579[[#This Row],[d (mm)]]*Table11234579[[#This Row],[pho (%)]])</f>
        <v>3.5035852178709321</v>
      </c>
      <c r="V32" s="111">
        <f>E32*224.8/(2*SQRT(Table11234579[[#This Row],[fc (Mpa)]]*145.037)*Table11234579[[#This Row],[b (mm)]]*Table11234579[[#This Row],[d (mm)]]*(1/25.4)^2)</f>
        <v>1.2841495468566726</v>
      </c>
      <c r="W32" s="111">
        <f>Table11234579[[#This Row],[M (KN.mm)]]/$G$34</f>
        <v>0.48033877797943136</v>
      </c>
      <c r="X32" s="111">
        <f t="shared" si="6"/>
        <v>1.2841495468566726</v>
      </c>
      <c r="Y32" s="111">
        <v>2400</v>
      </c>
      <c r="Z32" s="111">
        <v>925</v>
      </c>
      <c r="AA32" s="111">
        <v>1000</v>
      </c>
      <c r="AB32" s="111">
        <v>300</v>
      </c>
      <c r="AC32" s="7">
        <v>45</v>
      </c>
      <c r="AD32" s="111">
        <f>Table11234579[[#This Row],[pho (%)]]*Table11234579[[#This Row],[b (mm)]]*Table11234579[[#This Row],[h (mm)]]/100</f>
        <v>2940</v>
      </c>
      <c r="AE32" s="160">
        <f t="shared" si="4"/>
        <v>0.98</v>
      </c>
      <c r="AF32" s="160">
        <v>525</v>
      </c>
      <c r="AG32" s="111">
        <f>(1/3-0.21*(MIN(Table11234579[[#This Row],[b (mm)]],AA32)/MAX(Table11234579[[#This Row],[b (mm)]],AA32))*(MIN(Table11234579[[#This Row],[b (mm)]],AA32)^4/(12*MAX(Table11234579[[#This Row],[b (mm)]],AA32)^4)))*MAX(Table11234579[[#This Row],[b (mm)]],AA32)*MIN(Table11234579[[#This Row],[b (mm)]],AA32)^3</f>
        <v>8998851825</v>
      </c>
      <c r="AH32" s="111">
        <f>Table11234579[[#This Row],[b (mm)]]*AA32^3/12</f>
        <v>25000000000</v>
      </c>
      <c r="AI32" s="111">
        <v>4800</v>
      </c>
      <c r="AJ32" s="1"/>
      <c r="AK32" s="1"/>
    </row>
    <row r="33" spans="1:44" x14ac:dyDescent="0.25">
      <c r="A33" s="150" t="s">
        <v>190</v>
      </c>
      <c r="B33" s="283">
        <v>7</v>
      </c>
      <c r="C33" s="283">
        <v>32</v>
      </c>
      <c r="D33" s="275">
        <f>Table11234579[[#This Row],[a (mm)]]/Table11234579[[#This Row],[d (mm)]]</f>
        <v>2.5945945945945947</v>
      </c>
      <c r="E33" s="284">
        <f>1088/2</f>
        <v>544</v>
      </c>
      <c r="F33" s="137">
        <f>Table11234579[[#This Row],[d (mm)]]</f>
        <v>925</v>
      </c>
      <c r="G33" s="111">
        <f t="shared" si="5"/>
        <v>1305600</v>
      </c>
      <c r="H33" s="111">
        <f t="shared" si="0"/>
        <v>1.9829303079576911E-6</v>
      </c>
      <c r="I33" s="111">
        <f>G33/(Table11234579[[#This Row],[b (mm)]]*Z33^2)</f>
        <v>5.0863403944485025E-3</v>
      </c>
      <c r="J33" s="111">
        <f t="shared" si="1"/>
        <v>0.91445381241299606</v>
      </c>
      <c r="K33" s="111">
        <f t="shared" si="2"/>
        <v>1.9252279180995637E-6</v>
      </c>
      <c r="L33" s="111">
        <f>E33/(Table11234579[[#This Row],[b (mm)]]*Z33)</f>
        <v>1.9603603603603604E-3</v>
      </c>
      <c r="M33" s="111">
        <f>Table11234579[[#This Row],[M (KN.mm)]]/(Table11234579[[#This Row],[b (mm)]]*Table11234579[[#This Row],[d (mm)]])</f>
        <v>4.7048648648648648</v>
      </c>
      <c r="N33" s="111">
        <f>Table11234579[[#This Row],[M (KN.mm)]]/(Table11234579[[#This Row],[b (mm)]]*Table11234579[[#This Row],[h (mm)]])</f>
        <v>4.3520000000000003</v>
      </c>
      <c r="O33" s="111">
        <f>Table11234579[[#This Row],[M (KN.mm)]]/(Table11234579[[#This Row],[b (mm)]]*Table11234579[[#This Row],[h (mm)]]*Table11234579[[#This Row],[L(mm)]])</f>
        <v>9.0666666666666662E-4</v>
      </c>
      <c r="P33" s="111">
        <f>Table11234579[[#This Row],[M (KN.mm)]]/(Table11234579[[#This Row],[b (mm)]]*Table11234579[[#This Row],[d (mm)]]*Table11234579[[#This Row],[L(mm)]])</f>
        <v>9.8018018018018022E-4</v>
      </c>
      <c r="Q33" s="111">
        <f>Table11234579[[#This Row],[M (KN.mm)]]/(Table11234579[[#This Row],[b (mm)]]*Table11234579[[#This Row],[h (mm)]]*Table11234579[[#This Row],[L(mm)]]*Table11234579[[#This Row],[fc (Mpa)]])</f>
        <v>2.0148148148148149E-5</v>
      </c>
      <c r="R33" s="111">
        <f>Table11234579[[#This Row],[M (KN.mm)]]/(Table11234579[[#This Row],[b (mm)]]*Table11234579[[#This Row],[h (mm)]]*Table11234579[[#This Row],[L(mm)]]/2)</f>
        <v>1.8133333333333332E-3</v>
      </c>
      <c r="S33" s="111">
        <f>Table11234579[[#This Row],[M (KN.mm)]]/(Table11234579[[#This Row],[a (mm)]]*Table11234579[[#This Row],[b (mm)]]*Table11234579[[#This Row],[h (mm)]]*Table11234579[[#This Row],[L(mm)]]/2)</f>
        <v>7.5555555555555551E-7</v>
      </c>
      <c r="T33" s="111">
        <f>G33/($AL$5*AH33*0.001*Table11234579[[#This Row],[pho (%)]])</f>
        <v>2.0233982734262155E-6</v>
      </c>
      <c r="U33" s="111">
        <f>Table11234579[[#This Row],[M (KN.mm)]]/(Table11234579[[#This Row],[b (mm)]]*Table11234579[[#This Row],[d (mm)]]*Table11234579[[#This Row],[pho (%)]])</f>
        <v>4.8008825151682295</v>
      </c>
      <c r="V33" s="111">
        <f>E33*224.8/(2*SQRT(Table11234579[[#This Row],[fc (Mpa)]]*145.037)*Table11234579[[#This Row],[b (mm)]]*Table11234579[[#This Row],[d (mm)]]*(1/25.4)^2)</f>
        <v>1.7596406888917631</v>
      </c>
      <c r="W33" s="111">
        <f>Table11234579[[#This Row],[M (KN.mm)]]/$G$34</f>
        <v>0.6581972171808832</v>
      </c>
      <c r="X33" s="111">
        <f t="shared" si="6"/>
        <v>1.7596406888917631</v>
      </c>
      <c r="Y33" s="111">
        <v>2400</v>
      </c>
      <c r="Z33" s="111">
        <v>925</v>
      </c>
      <c r="AA33" s="111">
        <v>1000</v>
      </c>
      <c r="AB33" s="111">
        <v>300</v>
      </c>
      <c r="AC33" s="7">
        <v>45</v>
      </c>
      <c r="AD33" s="111">
        <f>Table11234579[[#This Row],[pho (%)]]*Table11234579[[#This Row],[b (mm)]]*Table11234579[[#This Row],[h (mm)]]/100</f>
        <v>2940</v>
      </c>
      <c r="AE33" s="160">
        <f t="shared" si="4"/>
        <v>0.98</v>
      </c>
      <c r="AF33" s="160">
        <v>525</v>
      </c>
      <c r="AG33" s="111">
        <f>(1/3-0.21*(MIN(Table11234579[[#This Row],[b (mm)]],AA33)/MAX(Table11234579[[#This Row],[b (mm)]],AA33))*(MIN(Table11234579[[#This Row],[b (mm)]],AA33)^4/(12*MAX(Table11234579[[#This Row],[b (mm)]],AA33)^4)))*MAX(Table11234579[[#This Row],[b (mm)]],AA33)*MIN(Table11234579[[#This Row],[b (mm)]],AA33)^3</f>
        <v>8998851825</v>
      </c>
      <c r="AH33" s="111">
        <f>Table11234579[[#This Row],[b (mm)]]*AA33^3/12</f>
        <v>25000000000</v>
      </c>
      <c r="AI33" s="111">
        <v>4800</v>
      </c>
      <c r="AJ33" s="1"/>
      <c r="AK33" s="1"/>
    </row>
    <row r="34" spans="1:44" x14ac:dyDescent="0.25">
      <c r="A34" s="150" t="s">
        <v>190</v>
      </c>
      <c r="B34" s="283" t="s">
        <v>141</v>
      </c>
      <c r="C34" s="283">
        <v>33</v>
      </c>
      <c r="D34" s="275">
        <f>Table11234579[[#This Row],[a (mm)]]/Table11234579[[#This Row],[d (mm)]]</f>
        <v>2.5945945945945947</v>
      </c>
      <c r="E34" s="284">
        <f>1653/2</f>
        <v>826.5</v>
      </c>
      <c r="F34" s="137">
        <f>Table11234579[[#This Row],[d (mm)]]</f>
        <v>925</v>
      </c>
      <c r="G34" s="111">
        <f t="shared" si="5"/>
        <v>1983600</v>
      </c>
      <c r="H34" s="111">
        <f t="shared" si="0"/>
        <v>3.0126689329541025E-6</v>
      </c>
      <c r="I34" s="111">
        <f>G34/(Table11234579[[#This Row],[b (mm)]]*Z34^2)</f>
        <v>7.7276844411979543E-3</v>
      </c>
      <c r="J34" s="111">
        <f t="shared" si="1"/>
        <v>1.3893310219840833</v>
      </c>
      <c r="K34" s="111">
        <f t="shared" si="2"/>
        <v>2.9250016071861939E-6</v>
      </c>
      <c r="L34" s="111">
        <f>E34/(Table11234579[[#This Row],[b (mm)]]*Z34)</f>
        <v>2.9783783783783784E-3</v>
      </c>
      <c r="M34" s="111">
        <f>Table11234579[[#This Row],[M (KN.mm)]]/(Table11234579[[#This Row],[b (mm)]]*Table11234579[[#This Row],[d (mm)]])</f>
        <v>7.1481081081081079</v>
      </c>
      <c r="N34" s="111">
        <f>Table11234579[[#This Row],[M (KN.mm)]]/(Table11234579[[#This Row],[b (mm)]]*Table11234579[[#This Row],[h (mm)]])</f>
        <v>6.6120000000000001</v>
      </c>
      <c r="O34" s="111">
        <f>Table11234579[[#This Row],[M (KN.mm)]]/(Table11234579[[#This Row],[b (mm)]]*Table11234579[[#This Row],[h (mm)]]*Table11234579[[#This Row],[L(mm)]])</f>
        <v>1.3775E-3</v>
      </c>
      <c r="P34" s="111">
        <f>Table11234579[[#This Row],[M (KN.mm)]]/(Table11234579[[#This Row],[b (mm)]]*Table11234579[[#This Row],[d (mm)]]*Table11234579[[#This Row],[L(mm)]])</f>
        <v>1.4891891891891892E-3</v>
      </c>
      <c r="Q34" s="111">
        <f>Table11234579[[#This Row],[M (KN.mm)]]/(Table11234579[[#This Row],[b (mm)]]*Table11234579[[#This Row],[h (mm)]]*Table11234579[[#This Row],[L(mm)]]*Table11234579[[#This Row],[fc (Mpa)]])</f>
        <v>3.0611111111111111E-5</v>
      </c>
      <c r="R34" s="111">
        <f>Table11234579[[#This Row],[M (KN.mm)]]/(Table11234579[[#This Row],[b (mm)]]*Table11234579[[#This Row],[h (mm)]]*Table11234579[[#This Row],[L(mm)]]/2)</f>
        <v>2.7550000000000001E-3</v>
      </c>
      <c r="S34" s="111">
        <f>Table11234579[[#This Row],[M (KN.mm)]]/(Table11234579[[#This Row],[a (mm)]]*Table11234579[[#This Row],[b (mm)]]*Table11234579[[#This Row],[h (mm)]]*Table11234579[[#This Row],[L(mm)]]/2)</f>
        <v>1.1479166666666668E-6</v>
      </c>
      <c r="T34" s="111">
        <f>G34/($AL$5*AH34*0.001*Table11234579[[#This Row],[pho (%)]])</f>
        <v>3.0741519724021454E-6</v>
      </c>
      <c r="U34" s="111">
        <f>Table11234579[[#This Row],[M (KN.mm)]]/(Table11234579[[#This Row],[b (mm)]]*Table11234579[[#This Row],[d (mm)]]*Table11234579[[#This Row],[pho (%)]])</f>
        <v>7.2939878654164367</v>
      </c>
      <c r="V34" s="111">
        <f>E34*224.8/(2*SQRT(Table11234579[[#This Row],[fc (Mpa)]]*145.037)*Table11234579[[#This Row],[b (mm)]]*Table11234579[[#This Row],[d (mm)]]*(1/25.4)^2)</f>
        <v>2.6734246863401507</v>
      </c>
      <c r="W34" s="111">
        <f>Table11234579[[#This Row],[M (KN.mm)]]/$G$34</f>
        <v>1</v>
      </c>
      <c r="X34" s="111">
        <f t="shared" si="6"/>
        <v>2.6734246863401507</v>
      </c>
      <c r="Y34" s="111">
        <v>2400</v>
      </c>
      <c r="Z34" s="111">
        <v>925</v>
      </c>
      <c r="AA34" s="111">
        <v>1000</v>
      </c>
      <c r="AB34" s="111">
        <v>300</v>
      </c>
      <c r="AC34" s="7">
        <v>45</v>
      </c>
      <c r="AD34" s="111">
        <f>Table11234579[[#This Row],[pho (%)]]*Table11234579[[#This Row],[b (mm)]]*Table11234579[[#This Row],[h (mm)]]/100</f>
        <v>2940</v>
      </c>
      <c r="AE34" s="160">
        <f t="shared" si="4"/>
        <v>0.98</v>
      </c>
      <c r="AF34" s="160">
        <v>525</v>
      </c>
      <c r="AG34" s="111">
        <f>(1/3-0.21*(MIN(Table11234579[[#This Row],[b (mm)]],AA34)/MAX(Table11234579[[#This Row],[b (mm)]],AA34))*(MIN(Table11234579[[#This Row],[b (mm)]],AA34)^4/(12*MAX(Table11234579[[#This Row],[b (mm)]],AA34)^4)))*MAX(Table11234579[[#This Row],[b (mm)]],AA34)*MIN(Table11234579[[#This Row],[b (mm)]],AA34)^3</f>
        <v>8998851825</v>
      </c>
      <c r="AH34" s="111">
        <f>Table11234579[[#This Row],[b (mm)]]*AA34^3/12</f>
        <v>25000000000</v>
      </c>
      <c r="AI34" s="111">
        <v>4800</v>
      </c>
      <c r="AJ34" s="1"/>
      <c r="AK34" s="1"/>
    </row>
    <row r="35" spans="1:44" x14ac:dyDescent="0.25">
      <c r="A35" s="163" t="s">
        <v>191</v>
      </c>
      <c r="B35" s="285">
        <v>1</v>
      </c>
      <c r="C35" s="285">
        <v>34</v>
      </c>
      <c r="D35" s="275">
        <f>Table11234579[[#This Row],[a (mm)]]/Table11234579[[#This Row],[d (mm)]]</f>
        <v>3.2432432432432434</v>
      </c>
      <c r="E35" s="286">
        <f>269.4/2</f>
        <v>134.69999999999999</v>
      </c>
      <c r="F35" s="137">
        <f>Table11234579[[#This Row],[d (mm)]]</f>
        <v>925</v>
      </c>
      <c r="G35" s="111">
        <f t="shared" si="5"/>
        <v>404099.99999999994</v>
      </c>
      <c r="H35" s="111">
        <f t="shared" si="0"/>
        <v>6.1374244596025041E-7</v>
      </c>
      <c r="I35" s="111">
        <f>G35/(Table11234579[[#This Row],[b (mm)]]*Z35^2)</f>
        <v>1.574287801314828E-3</v>
      </c>
      <c r="J35" s="111">
        <f t="shared" si="1"/>
        <v>0.28303522181073199</v>
      </c>
      <c r="K35" s="111">
        <f t="shared" si="2"/>
        <v>4.7670625104413824E-7</v>
      </c>
      <c r="L35" s="111">
        <f>E35/(Table11234579[[#This Row],[b (mm)]]*Z35)</f>
        <v>4.8540540540540538E-4</v>
      </c>
      <c r="M35" s="111">
        <f>Table11234579[[#This Row],[M (KN.mm)]]/(Table11234579[[#This Row],[b (mm)]]*Table11234579[[#This Row],[d (mm)]])</f>
        <v>1.456216216216216</v>
      </c>
      <c r="N35" s="111">
        <f>Table11234579[[#This Row],[M (KN.mm)]]/(Table11234579[[#This Row],[b (mm)]]*Table11234579[[#This Row],[h (mm)]])</f>
        <v>1.3469999999999998</v>
      </c>
      <c r="O35" s="111">
        <f>Table11234579[[#This Row],[M (KN.mm)]]/(Table11234579[[#This Row],[b (mm)]]*Table11234579[[#This Row],[h (mm)]]*Table11234579[[#This Row],[L(mm)]])</f>
        <v>2.2449999999999995E-4</v>
      </c>
      <c r="P35" s="111">
        <f>Table11234579[[#This Row],[M (KN.mm)]]/(Table11234579[[#This Row],[b (mm)]]*Table11234579[[#This Row],[d (mm)]]*Table11234579[[#This Row],[L(mm)]])</f>
        <v>2.4270270270270266E-4</v>
      </c>
      <c r="Q35" s="111">
        <f>Table11234579[[#This Row],[M (KN.mm)]]/(Table11234579[[#This Row],[b (mm)]]*Table11234579[[#This Row],[h (mm)]]*Table11234579[[#This Row],[L(mm)]]*Table11234579[[#This Row],[fc (Mpa)]])</f>
        <v>3.870689655172413E-6</v>
      </c>
      <c r="R35" s="111">
        <f>Table11234579[[#This Row],[M (KN.mm)]]/(Table11234579[[#This Row],[b (mm)]]*Table11234579[[#This Row],[h (mm)]]*Table11234579[[#This Row],[L(mm)]]/2)</f>
        <v>4.4899999999999991E-4</v>
      </c>
      <c r="S35" s="111">
        <f>Table11234579[[#This Row],[M (KN.mm)]]/(Table11234579[[#This Row],[a (mm)]]*Table11234579[[#This Row],[b (mm)]]*Table11234579[[#This Row],[h (mm)]]*Table11234579[[#This Row],[L(mm)]]/2)</f>
        <v>1.4966666666666664E-7</v>
      </c>
      <c r="T35" s="111">
        <f>G35/($AL$5*AH35*0.001*Table11234579[[#This Row],[pho (%)]])</f>
        <v>6.2626780200025541E-7</v>
      </c>
      <c r="U35" s="111">
        <f>Table11234579[[#This Row],[M (KN.mm)]]/(Table11234579[[#This Row],[b (mm)]]*Table11234579[[#This Row],[d (mm)]]*Table11234579[[#This Row],[pho (%)]])</f>
        <v>1.485934914506343</v>
      </c>
      <c r="V35" s="111">
        <f>E35*224.8/(2*SQRT(Table11234579[[#This Row],[fc (Mpa)]]*145.037)*Table11234579[[#This Row],[b (mm)]]*Table11234579[[#This Row],[d (mm)]]*(1/25.4)^2)</f>
        <v>0.38378230943452379</v>
      </c>
      <c r="W35" s="111">
        <f>Table11234579[[#This Row],[M (KN.mm)]]/$G$43</f>
        <v>0.19940784603997036</v>
      </c>
      <c r="X35" s="111">
        <f t="shared" si="6"/>
        <v>0.38378230943452379</v>
      </c>
      <c r="Y35" s="111">
        <v>3000</v>
      </c>
      <c r="Z35" s="111">
        <v>925</v>
      </c>
      <c r="AA35" s="111">
        <v>1000</v>
      </c>
      <c r="AB35" s="111">
        <v>300</v>
      </c>
      <c r="AC35" s="7">
        <v>58</v>
      </c>
      <c r="AD35" s="111">
        <f>Table11234579[[#This Row],[pho (%)]]*Table11234579[[#This Row],[b (mm)]]*Table11234579[[#This Row],[h (mm)]]/100</f>
        <v>2940</v>
      </c>
      <c r="AE35" s="160">
        <f t="shared" si="4"/>
        <v>0.98</v>
      </c>
      <c r="AF35" s="160">
        <v>525</v>
      </c>
      <c r="AG35" s="111">
        <f>(1/3-0.21*(MIN(Table11234579[[#This Row],[b (mm)]],AA35)/MAX(Table11234579[[#This Row],[b (mm)]],AA35))*(MIN(Table11234579[[#This Row],[b (mm)]],AA35)^4/(12*MAX(Table11234579[[#This Row],[b (mm)]],AA35)^4)))*MAX(Table11234579[[#This Row],[b (mm)]],AA35)*MIN(Table11234579[[#This Row],[b (mm)]],AA35)^3</f>
        <v>8998851825</v>
      </c>
      <c r="AH35" s="111">
        <f>Table11234579[[#This Row],[b (mm)]]*AA35^3/12</f>
        <v>25000000000</v>
      </c>
      <c r="AI35" s="111">
        <v>6000</v>
      </c>
      <c r="AJ35" s="1"/>
      <c r="AK35" s="1"/>
    </row>
    <row r="36" spans="1:44" x14ac:dyDescent="0.25">
      <c r="A36" s="163" t="s">
        <v>191</v>
      </c>
      <c r="B36" s="285">
        <v>2</v>
      </c>
      <c r="C36" s="285">
        <v>35</v>
      </c>
      <c r="D36" s="275">
        <f>Table11234579[[#This Row],[a (mm)]]/Table11234579[[#This Row],[d (mm)]]</f>
        <v>3.2432432432432434</v>
      </c>
      <c r="E36" s="286">
        <f>402.3/2</f>
        <v>201.15</v>
      </c>
      <c r="F36" s="137">
        <f>Table11234579[[#This Row],[d (mm)]]</f>
        <v>925</v>
      </c>
      <c r="G36" s="111">
        <f t="shared" si="5"/>
        <v>603450</v>
      </c>
      <c r="H36" s="111">
        <f t="shared" si="0"/>
        <v>9.1651293990277932E-7</v>
      </c>
      <c r="I36" s="111">
        <f>G36/(Table11234579[[#This Row],[b (mm)]]*Z36^2)</f>
        <v>2.3509130752373997E-3</v>
      </c>
      <c r="J36" s="111">
        <f t="shared" si="1"/>
        <v>0.42266172878417774</v>
      </c>
      <c r="K36" s="111">
        <f t="shared" si="2"/>
        <v>7.1187425684876334E-7</v>
      </c>
      <c r="L36" s="111">
        <f>E36/(Table11234579[[#This Row],[b (mm)]]*Z36)</f>
        <v>7.2486486486486492E-4</v>
      </c>
      <c r="M36" s="111">
        <f>Table11234579[[#This Row],[M (KN.mm)]]/(Table11234579[[#This Row],[b (mm)]]*Table11234579[[#This Row],[d (mm)]])</f>
        <v>2.1745945945945948</v>
      </c>
      <c r="N36" s="111">
        <f>Table11234579[[#This Row],[M (KN.mm)]]/(Table11234579[[#This Row],[b (mm)]]*Table11234579[[#This Row],[h (mm)]])</f>
        <v>2.0114999999999998</v>
      </c>
      <c r="O36" s="111">
        <f>Table11234579[[#This Row],[M (KN.mm)]]/(Table11234579[[#This Row],[b (mm)]]*Table11234579[[#This Row],[h (mm)]]*Table11234579[[#This Row],[L(mm)]])</f>
        <v>3.3524999999999999E-4</v>
      </c>
      <c r="P36" s="111">
        <f>Table11234579[[#This Row],[M (KN.mm)]]/(Table11234579[[#This Row],[b (mm)]]*Table11234579[[#This Row],[d (mm)]]*Table11234579[[#This Row],[L(mm)]])</f>
        <v>3.6243243243243241E-4</v>
      </c>
      <c r="Q36" s="111">
        <f>Table11234579[[#This Row],[M (KN.mm)]]/(Table11234579[[#This Row],[b (mm)]]*Table11234579[[#This Row],[h (mm)]]*Table11234579[[#This Row],[L(mm)]]*Table11234579[[#This Row],[fc (Mpa)]])</f>
        <v>5.7801724137931031E-6</v>
      </c>
      <c r="R36" s="111">
        <f>Table11234579[[#This Row],[M (KN.mm)]]/(Table11234579[[#This Row],[b (mm)]]*Table11234579[[#This Row],[h (mm)]]*Table11234579[[#This Row],[L(mm)]]/2)</f>
        <v>6.7049999999999998E-4</v>
      </c>
      <c r="S36" s="111">
        <f>Table11234579[[#This Row],[M (KN.mm)]]/(Table11234579[[#This Row],[a (mm)]]*Table11234579[[#This Row],[b (mm)]]*Table11234579[[#This Row],[h (mm)]]*Table11234579[[#This Row],[L(mm)]]/2)</f>
        <v>2.2350000000000001E-7</v>
      </c>
      <c r="T36" s="111">
        <f>G36/($AL$5*AH36*0.001*Table11234579[[#This Row],[pho (%)]])</f>
        <v>9.35217285615081E-7</v>
      </c>
      <c r="U36" s="111">
        <f>Table11234579[[#This Row],[M (KN.mm)]]/(Table11234579[[#This Row],[b (mm)]]*Table11234579[[#This Row],[d (mm)]]*Table11234579[[#This Row],[pho (%)]])</f>
        <v>2.2189740761169334</v>
      </c>
      <c r="V36" s="111">
        <f>E36*224.8/(2*SQRT(Table11234579[[#This Row],[fc (Mpa)]]*145.037)*Table11234579[[#This Row],[b (mm)]]*Table11234579[[#This Row],[d (mm)]]*(1/25.4)^2)</f>
        <v>0.57310921709543039</v>
      </c>
      <c r="W36" s="111">
        <f>Table11234579[[#This Row],[M (KN.mm)]]/$G$43</f>
        <v>0.29777942264988899</v>
      </c>
      <c r="X36" s="111">
        <f t="shared" si="6"/>
        <v>0.57310921709543039</v>
      </c>
      <c r="Y36" s="111">
        <v>3000</v>
      </c>
      <c r="Z36" s="111">
        <v>925</v>
      </c>
      <c r="AA36" s="111">
        <v>1000</v>
      </c>
      <c r="AB36" s="111">
        <v>300</v>
      </c>
      <c r="AC36" s="7">
        <v>58</v>
      </c>
      <c r="AD36" s="111">
        <f>Table11234579[[#This Row],[pho (%)]]*Table11234579[[#This Row],[b (mm)]]*Table11234579[[#This Row],[h (mm)]]/100</f>
        <v>2940</v>
      </c>
      <c r="AE36" s="160">
        <f t="shared" si="4"/>
        <v>0.98</v>
      </c>
      <c r="AF36" s="160">
        <v>525</v>
      </c>
      <c r="AG36" s="111">
        <f>(1/3-0.21*(MIN(Table11234579[[#This Row],[b (mm)]],AA36)/MAX(Table11234579[[#This Row],[b (mm)]],AA36))*(MIN(Table11234579[[#This Row],[b (mm)]],AA36)^4/(12*MAX(Table11234579[[#This Row],[b (mm)]],AA36)^4)))*MAX(Table11234579[[#This Row],[b (mm)]],AA36)*MIN(Table11234579[[#This Row],[b (mm)]],AA36)^3</f>
        <v>8998851825</v>
      </c>
      <c r="AH36" s="111">
        <f>Table11234579[[#This Row],[b (mm)]]*AA36^3/12</f>
        <v>25000000000</v>
      </c>
      <c r="AI36" s="111">
        <v>6000</v>
      </c>
      <c r="AJ36" s="1"/>
      <c r="AK36" s="1"/>
    </row>
    <row r="37" spans="1:44" x14ac:dyDescent="0.25">
      <c r="A37" s="163" t="s">
        <v>191</v>
      </c>
      <c r="B37" s="285">
        <v>3</v>
      </c>
      <c r="C37" s="285">
        <v>36</v>
      </c>
      <c r="D37" s="275">
        <f>Table11234579[[#This Row],[a (mm)]]/Table11234579[[#This Row],[d (mm)]]</f>
        <v>3.2432432432432434</v>
      </c>
      <c r="E37" s="286">
        <f>552/2</f>
        <v>276</v>
      </c>
      <c r="F37" s="137">
        <f>Table11234579[[#This Row],[d (mm)]]</f>
        <v>925</v>
      </c>
      <c r="G37" s="111">
        <f t="shared" si="5"/>
        <v>828000</v>
      </c>
      <c r="H37" s="111">
        <f t="shared" si="0"/>
        <v>1.2575569048628739E-6</v>
      </c>
      <c r="I37" s="111">
        <f>G37/(Table11234579[[#This Row],[b (mm)]]*Z37^2)</f>
        <v>3.2257121986851716E-3</v>
      </c>
      <c r="J37" s="111">
        <f t="shared" si="1"/>
        <v>0.5799385391222126</v>
      </c>
      <c r="K37" s="111">
        <f t="shared" si="2"/>
        <v>9.7677004668286683E-7</v>
      </c>
      <c r="L37" s="111">
        <f>E37/(Table11234579[[#This Row],[b (mm)]]*Z37)</f>
        <v>9.945945945945946E-4</v>
      </c>
      <c r="M37" s="111">
        <f>Table11234579[[#This Row],[M (KN.mm)]]/(Table11234579[[#This Row],[b (mm)]]*Table11234579[[#This Row],[d (mm)]])</f>
        <v>2.9837837837837839</v>
      </c>
      <c r="N37" s="111">
        <f>Table11234579[[#This Row],[M (KN.mm)]]/(Table11234579[[#This Row],[b (mm)]]*Table11234579[[#This Row],[h (mm)]])</f>
        <v>2.76</v>
      </c>
      <c r="O37" s="111">
        <f>Table11234579[[#This Row],[M (KN.mm)]]/(Table11234579[[#This Row],[b (mm)]]*Table11234579[[#This Row],[h (mm)]]*Table11234579[[#This Row],[L(mm)]])</f>
        <v>4.6000000000000001E-4</v>
      </c>
      <c r="P37" s="111">
        <f>Table11234579[[#This Row],[M (KN.mm)]]/(Table11234579[[#This Row],[b (mm)]]*Table11234579[[#This Row],[d (mm)]]*Table11234579[[#This Row],[L(mm)]])</f>
        <v>4.972972972972973E-4</v>
      </c>
      <c r="Q37" s="111">
        <f>Table11234579[[#This Row],[M (KN.mm)]]/(Table11234579[[#This Row],[b (mm)]]*Table11234579[[#This Row],[h (mm)]]*Table11234579[[#This Row],[L(mm)]]*Table11234579[[#This Row],[fc (Mpa)]])</f>
        <v>7.9310344827586208E-6</v>
      </c>
      <c r="R37" s="111">
        <f>Table11234579[[#This Row],[M (KN.mm)]]/(Table11234579[[#This Row],[b (mm)]]*Table11234579[[#This Row],[h (mm)]]*Table11234579[[#This Row],[L(mm)]]/2)</f>
        <v>9.2000000000000003E-4</v>
      </c>
      <c r="S37" s="111">
        <f>Table11234579[[#This Row],[M (KN.mm)]]/(Table11234579[[#This Row],[a (mm)]]*Table11234579[[#This Row],[b (mm)]]*Table11234579[[#This Row],[h (mm)]]*Table11234579[[#This Row],[L(mm)]]/2)</f>
        <v>3.0666666666666666E-7</v>
      </c>
      <c r="T37" s="111">
        <f>G37/($AL$5*AH37*0.001*Table11234579[[#This Row],[pho (%)]])</f>
        <v>1.2832213314927284E-6</v>
      </c>
      <c r="U37" s="111">
        <f>Table11234579[[#This Row],[M (KN.mm)]]/(Table11234579[[#This Row],[b (mm)]]*Table11234579[[#This Row],[d (mm)]]*Table11234579[[#This Row],[pho (%)]])</f>
        <v>3.0446773303916159</v>
      </c>
      <c r="V37" s="111">
        <f>E37*224.8/(2*SQRT(Table11234579[[#This Row],[fc (Mpa)]]*145.037)*Table11234579[[#This Row],[b (mm)]]*Table11234579[[#This Row],[d (mm)]]*(1/25.4)^2)</f>
        <v>0.78636909728232052</v>
      </c>
      <c r="W37" s="111">
        <f>Table11234579[[#This Row],[M (KN.mm)]]/$G$43</f>
        <v>0.4085862324204293</v>
      </c>
      <c r="X37" s="111">
        <f t="shared" si="6"/>
        <v>0.78636909728232052</v>
      </c>
      <c r="Y37" s="111">
        <v>3000</v>
      </c>
      <c r="Z37" s="111">
        <v>925</v>
      </c>
      <c r="AA37" s="111">
        <v>1000</v>
      </c>
      <c r="AB37" s="111">
        <v>300</v>
      </c>
      <c r="AC37" s="7">
        <v>58</v>
      </c>
      <c r="AD37" s="111">
        <f>Table11234579[[#This Row],[pho (%)]]*Table11234579[[#This Row],[b (mm)]]*Table11234579[[#This Row],[h (mm)]]/100</f>
        <v>2940</v>
      </c>
      <c r="AE37" s="160">
        <f t="shared" si="4"/>
        <v>0.98</v>
      </c>
      <c r="AF37" s="160">
        <v>525</v>
      </c>
      <c r="AG37" s="111">
        <f>(1/3-0.21*(MIN(Table11234579[[#This Row],[b (mm)]],AA37)/MAX(Table11234579[[#This Row],[b (mm)]],AA37))*(MIN(Table11234579[[#This Row],[b (mm)]],AA37)^4/(12*MAX(Table11234579[[#This Row],[b (mm)]],AA37)^4)))*MAX(Table11234579[[#This Row],[b (mm)]],AA37)*MIN(Table11234579[[#This Row],[b (mm)]],AA37)^3</f>
        <v>8998851825</v>
      </c>
      <c r="AH37" s="111">
        <f>Table11234579[[#This Row],[b (mm)]]*AA37^3/12</f>
        <v>25000000000</v>
      </c>
      <c r="AI37" s="111">
        <v>6000</v>
      </c>
      <c r="AJ37" s="1"/>
      <c r="AK37" s="1"/>
    </row>
    <row r="38" spans="1:44" x14ac:dyDescent="0.25">
      <c r="A38" s="163" t="s">
        <v>191</v>
      </c>
      <c r="B38" s="285">
        <v>4</v>
      </c>
      <c r="C38" s="285">
        <v>37</v>
      </c>
      <c r="D38" s="275">
        <f>Table11234579[[#This Row],[a (mm)]]/Table11234579[[#This Row],[d (mm)]]</f>
        <v>3.2432432432432434</v>
      </c>
      <c r="E38" s="286">
        <f>699.5/2</f>
        <v>349.75</v>
      </c>
      <c r="F38" s="137">
        <f>Table11234579[[#This Row],[d (mm)]]</f>
        <v>925</v>
      </c>
      <c r="G38" s="111">
        <f t="shared" si="5"/>
        <v>1049250</v>
      </c>
      <c r="H38" s="111">
        <f t="shared" si="0"/>
        <v>1.5935888676659064E-6</v>
      </c>
      <c r="I38" s="111">
        <f>G38/(Table11234579[[#This Row],[b (mm)]]*Z38^2)</f>
        <v>4.0876552227903581E-3</v>
      </c>
      <c r="J38" s="111">
        <f t="shared" si="1"/>
        <v>0.7349040002101227</v>
      </c>
      <c r="K38" s="111">
        <f t="shared" si="2"/>
        <v>1.2377729124178721E-6</v>
      </c>
      <c r="L38" s="111">
        <f>E38/(Table11234579[[#This Row],[b (mm)]]*Z38)</f>
        <v>1.2603603603603603E-3</v>
      </c>
      <c r="M38" s="111">
        <f>Table11234579[[#This Row],[M (KN.mm)]]/(Table11234579[[#This Row],[b (mm)]]*Table11234579[[#This Row],[d (mm)]])</f>
        <v>3.7810810810810809</v>
      </c>
      <c r="N38" s="111">
        <f>Table11234579[[#This Row],[M (KN.mm)]]/(Table11234579[[#This Row],[b (mm)]]*Table11234579[[#This Row],[h (mm)]])</f>
        <v>3.4975000000000001</v>
      </c>
      <c r="O38" s="111">
        <f>Table11234579[[#This Row],[M (KN.mm)]]/(Table11234579[[#This Row],[b (mm)]]*Table11234579[[#This Row],[h (mm)]]*Table11234579[[#This Row],[L(mm)]])</f>
        <v>5.829166666666667E-4</v>
      </c>
      <c r="P38" s="111">
        <f>Table11234579[[#This Row],[M (KN.mm)]]/(Table11234579[[#This Row],[b (mm)]]*Table11234579[[#This Row],[d (mm)]]*Table11234579[[#This Row],[L(mm)]])</f>
        <v>6.3018018018018017E-4</v>
      </c>
      <c r="Q38" s="111">
        <f>Table11234579[[#This Row],[M (KN.mm)]]/(Table11234579[[#This Row],[b (mm)]]*Table11234579[[#This Row],[h (mm)]]*Table11234579[[#This Row],[L(mm)]]*Table11234579[[#This Row],[fc (Mpa)]])</f>
        <v>1.0050287356321838E-5</v>
      </c>
      <c r="R38" s="111">
        <f>Table11234579[[#This Row],[M (KN.mm)]]/(Table11234579[[#This Row],[b (mm)]]*Table11234579[[#This Row],[h (mm)]]*Table11234579[[#This Row],[L(mm)]]/2)</f>
        <v>1.1658333333333334E-3</v>
      </c>
      <c r="S38" s="111">
        <f>Table11234579[[#This Row],[M (KN.mm)]]/(Table11234579[[#This Row],[a (mm)]]*Table11234579[[#This Row],[b (mm)]]*Table11234579[[#This Row],[h (mm)]]*Table11234579[[#This Row],[L(mm)]]/2)</f>
        <v>3.8861111111111113E-7</v>
      </c>
      <c r="T38" s="111">
        <f>G38/($AL$5*AH38*0.001*Table11234579[[#This Row],[pho (%)]])</f>
        <v>1.6261110894550065E-6</v>
      </c>
      <c r="U38" s="111">
        <f>Table11234579[[#This Row],[M (KN.mm)]]/(Table11234579[[#This Row],[b (mm)]]*Table11234579[[#This Row],[d (mm)]]*Table11234579[[#This Row],[pho (%)]])</f>
        <v>3.8582460011031441</v>
      </c>
      <c r="V38" s="111">
        <f>E38*224.8/(2*SQRT(Table11234579[[#This Row],[fc (Mpa)]]*145.037)*Table11234579[[#This Row],[b (mm)]]*Table11234579[[#This Row],[d (mm)]]*(1/25.4)^2)</f>
        <v>0.99649489773366517</v>
      </c>
      <c r="W38" s="111">
        <f>Table11234579[[#This Row],[M (KN.mm)]]/$G$43</f>
        <v>0.5177646188008882</v>
      </c>
      <c r="X38" s="111">
        <f t="shared" si="6"/>
        <v>0.99649489773366517</v>
      </c>
      <c r="Y38" s="111">
        <v>3000</v>
      </c>
      <c r="Z38" s="111">
        <v>925</v>
      </c>
      <c r="AA38" s="111">
        <v>1000</v>
      </c>
      <c r="AB38" s="111">
        <v>300</v>
      </c>
      <c r="AC38" s="7">
        <v>58</v>
      </c>
      <c r="AD38" s="111">
        <f>Table11234579[[#This Row],[pho (%)]]*Table11234579[[#This Row],[b (mm)]]*Table11234579[[#This Row],[h (mm)]]/100</f>
        <v>2940</v>
      </c>
      <c r="AE38" s="160">
        <f t="shared" si="4"/>
        <v>0.98</v>
      </c>
      <c r="AF38" s="160">
        <v>525</v>
      </c>
      <c r="AG38" s="111">
        <f>(1/3-0.21*(MIN(Table11234579[[#This Row],[b (mm)]],AA38)/MAX(Table11234579[[#This Row],[b (mm)]],AA38))*(MIN(Table11234579[[#This Row],[b (mm)]],AA38)^4/(12*MAX(Table11234579[[#This Row],[b (mm)]],AA38)^4)))*MAX(Table11234579[[#This Row],[b (mm)]],AA38)*MIN(Table11234579[[#This Row],[b (mm)]],AA38)^3</f>
        <v>8998851825</v>
      </c>
      <c r="AH38" s="111">
        <f>Table11234579[[#This Row],[b (mm)]]*AA38^3/12</f>
        <v>25000000000</v>
      </c>
      <c r="AI38" s="111">
        <v>6000</v>
      </c>
      <c r="AJ38" s="139"/>
      <c r="AK38" s="139"/>
      <c r="AL38" s="139"/>
      <c r="AM38" s="139"/>
      <c r="AN38" s="139"/>
      <c r="AO38" s="139"/>
      <c r="AP38" s="139"/>
      <c r="AQ38" s="1"/>
      <c r="AR38" s="1"/>
    </row>
    <row r="39" spans="1:44" x14ac:dyDescent="0.25">
      <c r="A39" s="163" t="s">
        <v>191</v>
      </c>
      <c r="B39" s="285">
        <v>5</v>
      </c>
      <c r="C39" s="285">
        <v>38</v>
      </c>
      <c r="D39" s="275">
        <f>Table11234579[[#This Row],[a (mm)]]/Table11234579[[#This Row],[d (mm)]]</f>
        <v>3.2432432432432434</v>
      </c>
      <c r="E39" s="286">
        <f>850/2</f>
        <v>425</v>
      </c>
      <c r="F39" s="137">
        <f>Table11234579[[#This Row],[d (mm)]]</f>
        <v>925</v>
      </c>
      <c r="G39" s="111">
        <f t="shared" si="5"/>
        <v>1275000</v>
      </c>
      <c r="H39" s="111">
        <f t="shared" si="0"/>
        <v>1.9364553788649326E-6</v>
      </c>
      <c r="I39" s="111">
        <f>G39/(Table11234579[[#This Row],[b (mm)]]*Z39^2)</f>
        <v>4.9671292914536154E-3</v>
      </c>
      <c r="J39" s="111">
        <f t="shared" si="1"/>
        <v>0.89302130118456646</v>
      </c>
      <c r="K39" s="111">
        <f t="shared" si="2"/>
        <v>1.5040843110152842E-6</v>
      </c>
      <c r="L39" s="111">
        <f>E39/(Table11234579[[#This Row],[b (mm)]]*Z39)</f>
        <v>1.5315315315315315E-3</v>
      </c>
      <c r="M39" s="111">
        <f>Table11234579[[#This Row],[M (KN.mm)]]/(Table11234579[[#This Row],[b (mm)]]*Table11234579[[#This Row],[d (mm)]])</f>
        <v>4.5945945945945947</v>
      </c>
      <c r="N39" s="111">
        <f>Table11234579[[#This Row],[M (KN.mm)]]/(Table11234579[[#This Row],[b (mm)]]*Table11234579[[#This Row],[h (mm)]])</f>
        <v>4.25</v>
      </c>
      <c r="O39" s="111">
        <f>Table11234579[[#This Row],[M (KN.mm)]]/(Table11234579[[#This Row],[b (mm)]]*Table11234579[[#This Row],[h (mm)]]*Table11234579[[#This Row],[L(mm)]])</f>
        <v>7.0833333333333338E-4</v>
      </c>
      <c r="P39" s="111">
        <f>Table11234579[[#This Row],[M (KN.mm)]]/(Table11234579[[#This Row],[b (mm)]]*Table11234579[[#This Row],[d (mm)]]*Table11234579[[#This Row],[L(mm)]])</f>
        <v>7.6576576576576575E-4</v>
      </c>
      <c r="Q39" s="111">
        <f>Table11234579[[#This Row],[M (KN.mm)]]/(Table11234579[[#This Row],[b (mm)]]*Table11234579[[#This Row],[h (mm)]]*Table11234579[[#This Row],[L(mm)]]*Table11234579[[#This Row],[fc (Mpa)]])</f>
        <v>1.221264367816092E-5</v>
      </c>
      <c r="R39" s="111">
        <f>Table11234579[[#This Row],[M (KN.mm)]]/(Table11234579[[#This Row],[b (mm)]]*Table11234579[[#This Row],[h (mm)]]*Table11234579[[#This Row],[L(mm)]]/2)</f>
        <v>1.4166666666666668E-3</v>
      </c>
      <c r="S39" s="111">
        <f>Table11234579[[#This Row],[M (KN.mm)]]/(Table11234579[[#This Row],[a (mm)]]*Table11234579[[#This Row],[b (mm)]]*Table11234579[[#This Row],[h (mm)]]*Table11234579[[#This Row],[L(mm)]]/2)</f>
        <v>4.7222222222222221E-7</v>
      </c>
      <c r="T39" s="111">
        <f>G39/($AL$5*AH39*0.001*Table11234579[[#This Row],[pho (%)]])</f>
        <v>1.9759748763927884E-6</v>
      </c>
      <c r="U39" s="111">
        <f>Table11234579[[#This Row],[M (KN.mm)]]/(Table11234579[[#This Row],[b (mm)]]*Table11234579[[#This Row],[d (mm)]]*Table11234579[[#This Row],[pho (%)]])</f>
        <v>4.6883618312189741</v>
      </c>
      <c r="V39" s="111">
        <f>E39*224.8/(2*SQRT(Table11234579[[#This Row],[fc (Mpa)]]*145.037)*Table11234579[[#This Row],[b (mm)]]*Table11234579[[#This Row],[d (mm)]]*(1/25.4)^2)</f>
        <v>1.2108944432789355</v>
      </c>
      <c r="W39" s="111">
        <f>Table11234579[[#This Row],[M (KN.mm)]]/$G$43</f>
        <v>0.62916358253145821</v>
      </c>
      <c r="X39" s="111">
        <f t="shared" si="6"/>
        <v>1.2108944432789355</v>
      </c>
      <c r="Y39" s="111">
        <v>3000</v>
      </c>
      <c r="Z39" s="111">
        <v>925</v>
      </c>
      <c r="AA39" s="111">
        <v>1000</v>
      </c>
      <c r="AB39" s="111">
        <v>300</v>
      </c>
      <c r="AC39" s="7">
        <v>58</v>
      </c>
      <c r="AD39" s="111">
        <f>Table11234579[[#This Row],[pho (%)]]*Table11234579[[#This Row],[b (mm)]]*Table11234579[[#This Row],[h (mm)]]/100</f>
        <v>2940</v>
      </c>
      <c r="AE39" s="160">
        <f t="shared" si="4"/>
        <v>0.98</v>
      </c>
      <c r="AF39" s="160">
        <v>525</v>
      </c>
      <c r="AG39" s="111">
        <f>(1/3-0.21*(MIN(Table11234579[[#This Row],[b (mm)]],AA39)/MAX(Table11234579[[#This Row],[b (mm)]],AA39))*(MIN(Table11234579[[#This Row],[b (mm)]],AA39)^4/(12*MAX(Table11234579[[#This Row],[b (mm)]],AA39)^4)))*MAX(Table11234579[[#This Row],[b (mm)]],AA39)*MIN(Table11234579[[#This Row],[b (mm)]],AA39)^3</f>
        <v>8998851825</v>
      </c>
      <c r="AH39" s="111">
        <f>Table11234579[[#This Row],[b (mm)]]*AA39^3/12</f>
        <v>25000000000</v>
      </c>
      <c r="AI39" s="111">
        <v>6000</v>
      </c>
      <c r="AJ39" s="139"/>
      <c r="AK39" s="139"/>
      <c r="AL39" s="139"/>
      <c r="AM39" s="139"/>
      <c r="AN39" s="139"/>
      <c r="AO39" s="139"/>
      <c r="AP39" s="139"/>
      <c r="AQ39" s="1"/>
      <c r="AR39" s="1"/>
    </row>
    <row r="40" spans="1:44" x14ac:dyDescent="0.25">
      <c r="A40" s="163" t="s">
        <v>191</v>
      </c>
      <c r="B40" s="285">
        <v>6</v>
      </c>
      <c r="C40" s="285">
        <v>39</v>
      </c>
      <c r="D40" s="275">
        <f>Table11234579[[#This Row],[a (mm)]]/Table11234579[[#This Row],[d (mm)]]</f>
        <v>3.2432432432432434</v>
      </c>
      <c r="E40" s="286">
        <f>1003/2</f>
        <v>501.5</v>
      </c>
      <c r="F40" s="137">
        <f>Table11234579[[#This Row],[d (mm)]]</f>
        <v>925</v>
      </c>
      <c r="G40" s="111">
        <f t="shared" si="5"/>
        <v>1504500</v>
      </c>
      <c r="H40" s="111">
        <f t="shared" si="0"/>
        <v>2.2850173470606205E-6</v>
      </c>
      <c r="I40" s="111">
        <f>G40/(Table11234579[[#This Row],[b (mm)]]*Z40^2)</f>
        <v>5.8612125639152662E-3</v>
      </c>
      <c r="J40" s="111">
        <f t="shared" si="1"/>
        <v>1.0537651353977884</v>
      </c>
      <c r="K40" s="111">
        <f t="shared" si="2"/>
        <v>1.7748194869980353E-6</v>
      </c>
      <c r="L40" s="111">
        <f>E40/(Table11234579[[#This Row],[b (mm)]]*Z40)</f>
        <v>1.8072072072072072E-3</v>
      </c>
      <c r="M40" s="111">
        <f>Table11234579[[#This Row],[M (KN.mm)]]/(Table11234579[[#This Row],[b (mm)]]*Table11234579[[#This Row],[d (mm)]])</f>
        <v>5.4216216216216218</v>
      </c>
      <c r="N40" s="111">
        <f>Table11234579[[#This Row],[M (KN.mm)]]/(Table11234579[[#This Row],[b (mm)]]*Table11234579[[#This Row],[h (mm)]])</f>
        <v>5.0149999999999997</v>
      </c>
      <c r="O40" s="111">
        <f>Table11234579[[#This Row],[M (KN.mm)]]/(Table11234579[[#This Row],[b (mm)]]*Table11234579[[#This Row],[h (mm)]]*Table11234579[[#This Row],[L(mm)]])</f>
        <v>8.3583333333333328E-4</v>
      </c>
      <c r="P40" s="111">
        <f>Table11234579[[#This Row],[M (KN.mm)]]/(Table11234579[[#This Row],[b (mm)]]*Table11234579[[#This Row],[d (mm)]]*Table11234579[[#This Row],[L(mm)]])</f>
        <v>9.0360360360360362E-4</v>
      </c>
      <c r="Q40" s="111">
        <f>Table11234579[[#This Row],[M (KN.mm)]]/(Table11234579[[#This Row],[b (mm)]]*Table11234579[[#This Row],[h (mm)]]*Table11234579[[#This Row],[L(mm)]]*Table11234579[[#This Row],[fc (Mpa)]])</f>
        <v>1.4410919540229885E-5</v>
      </c>
      <c r="R40" s="111">
        <f>Table11234579[[#This Row],[M (KN.mm)]]/(Table11234579[[#This Row],[b (mm)]]*Table11234579[[#This Row],[h (mm)]]*Table11234579[[#This Row],[L(mm)]]/2)</f>
        <v>1.6716666666666666E-3</v>
      </c>
      <c r="S40" s="111">
        <f>Table11234579[[#This Row],[M (KN.mm)]]/(Table11234579[[#This Row],[a (mm)]]*Table11234579[[#This Row],[b (mm)]]*Table11234579[[#This Row],[h (mm)]]*Table11234579[[#This Row],[L(mm)]]/2)</f>
        <v>5.5722222222222224E-7</v>
      </c>
      <c r="T40" s="111">
        <f>G40/($AL$5*AH40*0.001*Table11234579[[#This Row],[pho (%)]])</f>
        <v>2.3316503541434905E-6</v>
      </c>
      <c r="U40" s="111">
        <f>Table11234579[[#This Row],[M (KN.mm)]]/(Table11234579[[#This Row],[b (mm)]]*Table11234579[[#This Row],[d (mm)]]*Table11234579[[#This Row],[pho (%)]])</f>
        <v>5.5322669608383892</v>
      </c>
      <c r="V40" s="111">
        <f>E40*224.8/(2*SQRT(Table11234579[[#This Row],[fc (Mpa)]]*145.037)*Table11234579[[#This Row],[b (mm)]]*Table11234579[[#This Row],[d (mm)]]*(1/25.4)^2)</f>
        <v>1.428855443069144</v>
      </c>
      <c r="W40" s="111">
        <f>Table11234579[[#This Row],[M (KN.mm)]]/$G$43</f>
        <v>0.74241302738712067</v>
      </c>
      <c r="X40" s="111">
        <f t="shared" si="6"/>
        <v>1.428855443069144</v>
      </c>
      <c r="Y40" s="111">
        <v>3000</v>
      </c>
      <c r="Z40" s="111">
        <v>925</v>
      </c>
      <c r="AA40" s="111">
        <v>1000</v>
      </c>
      <c r="AB40" s="111">
        <v>300</v>
      </c>
      <c r="AC40" s="7">
        <v>58</v>
      </c>
      <c r="AD40" s="111">
        <f>Table11234579[[#This Row],[pho (%)]]*Table11234579[[#This Row],[b (mm)]]*Table11234579[[#This Row],[h (mm)]]/100</f>
        <v>2940</v>
      </c>
      <c r="AE40" s="160">
        <f t="shared" si="4"/>
        <v>0.98</v>
      </c>
      <c r="AF40" s="160">
        <v>525</v>
      </c>
      <c r="AG40" s="111">
        <f>(1/3-0.21*(MIN(Table11234579[[#This Row],[b (mm)]],AA40)/MAX(Table11234579[[#This Row],[b (mm)]],AA40))*(MIN(Table11234579[[#This Row],[b (mm)]],AA40)^4/(12*MAX(Table11234579[[#This Row],[b (mm)]],AA40)^4)))*MAX(Table11234579[[#This Row],[b (mm)]],AA40)*MIN(Table11234579[[#This Row],[b (mm)]],AA40)^3</f>
        <v>8998851825</v>
      </c>
      <c r="AH40" s="111">
        <f>Table11234579[[#This Row],[b (mm)]]*AA40^3/12</f>
        <v>25000000000</v>
      </c>
      <c r="AI40" s="111">
        <v>6000</v>
      </c>
      <c r="AJ40" s="139"/>
      <c r="AK40" s="139"/>
      <c r="AL40" s="139"/>
      <c r="AM40" s="139"/>
      <c r="AN40" s="139"/>
      <c r="AO40" s="139"/>
      <c r="AP40" s="139"/>
      <c r="AQ40" s="1"/>
      <c r="AR40" s="1"/>
    </row>
    <row r="41" spans="1:44" x14ac:dyDescent="0.25">
      <c r="A41" s="163" t="s">
        <v>191</v>
      </c>
      <c r="B41" s="285">
        <v>7</v>
      </c>
      <c r="C41" s="285">
        <v>40</v>
      </c>
      <c r="D41" s="275">
        <f>Table11234579[[#This Row],[a (mm)]]/Table11234579[[#This Row],[d (mm)]]</f>
        <v>3.2432432432432434</v>
      </c>
      <c r="E41" s="286">
        <f>1154/2</f>
        <v>577</v>
      </c>
      <c r="F41" s="137">
        <f>Table11234579[[#This Row],[d (mm)]]</f>
        <v>925</v>
      </c>
      <c r="G41" s="111">
        <f t="shared" si="5"/>
        <v>1731000</v>
      </c>
      <c r="H41" s="111">
        <f t="shared" si="0"/>
        <v>2.6290229496589792E-6</v>
      </c>
      <c r="I41" s="111">
        <f>G41/(Table11234579[[#This Row],[b (mm)]]*Z41^2)</f>
        <v>6.7436084733382027E-3</v>
      </c>
      <c r="J41" s="111">
        <f t="shared" si="1"/>
        <v>1.212407743019988</v>
      </c>
      <c r="K41" s="111">
        <f t="shared" si="2"/>
        <v>2.0420156410725153E-6</v>
      </c>
      <c r="L41" s="111">
        <f>E41/(Table11234579[[#This Row],[b (mm)]]*Z41)</f>
        <v>2.0792792792792792E-3</v>
      </c>
      <c r="M41" s="111">
        <f>Table11234579[[#This Row],[M (KN.mm)]]/(Table11234579[[#This Row],[b (mm)]]*Table11234579[[#This Row],[d (mm)]])</f>
        <v>6.2378378378378381</v>
      </c>
      <c r="N41" s="111">
        <f>Table11234579[[#This Row],[M (KN.mm)]]/(Table11234579[[#This Row],[b (mm)]]*Table11234579[[#This Row],[h (mm)]])</f>
        <v>5.77</v>
      </c>
      <c r="O41" s="111">
        <f>Table11234579[[#This Row],[M (KN.mm)]]/(Table11234579[[#This Row],[b (mm)]]*Table11234579[[#This Row],[h (mm)]]*Table11234579[[#This Row],[L(mm)]])</f>
        <v>9.6166666666666666E-4</v>
      </c>
      <c r="P41" s="111">
        <f>Table11234579[[#This Row],[M (KN.mm)]]/(Table11234579[[#This Row],[b (mm)]]*Table11234579[[#This Row],[d (mm)]]*Table11234579[[#This Row],[L(mm)]])</f>
        <v>1.0396396396396396E-3</v>
      </c>
      <c r="Q41" s="111">
        <f>Table11234579[[#This Row],[M (KN.mm)]]/(Table11234579[[#This Row],[b (mm)]]*Table11234579[[#This Row],[h (mm)]]*Table11234579[[#This Row],[L(mm)]]*Table11234579[[#This Row],[fc (Mpa)]])</f>
        <v>1.6580459770114942E-5</v>
      </c>
      <c r="R41" s="111">
        <f>Table11234579[[#This Row],[M (KN.mm)]]/(Table11234579[[#This Row],[b (mm)]]*Table11234579[[#This Row],[h (mm)]]*Table11234579[[#This Row],[L(mm)]]/2)</f>
        <v>1.9233333333333333E-3</v>
      </c>
      <c r="S41" s="111">
        <f>Table11234579[[#This Row],[M (KN.mm)]]/(Table11234579[[#This Row],[a (mm)]]*Table11234579[[#This Row],[b (mm)]]*Table11234579[[#This Row],[h (mm)]]*Table11234579[[#This Row],[L(mm)]]/2)</f>
        <v>6.4111111111111109E-7</v>
      </c>
      <c r="T41" s="111">
        <f>G41/($AL$5*AH41*0.001*Table11234579[[#This Row],[pho (%)]])</f>
        <v>2.6826764792438562E-6</v>
      </c>
      <c r="U41" s="111">
        <f>Table11234579[[#This Row],[M (KN.mm)]]/(Table11234579[[#This Row],[b (mm)]]*Table11234579[[#This Row],[d (mm)]]*Table11234579[[#This Row],[pho (%)]])</f>
        <v>6.3651406508549364</v>
      </c>
      <c r="V41" s="111">
        <f>E41*224.8/(2*SQRT(Table11234579[[#This Row],[fc (Mpa)]]*145.037)*Table11234579[[#This Row],[b (mm)]]*Table11234579[[#This Row],[d (mm)]]*(1/25.4)^2)</f>
        <v>1.6439672794634019</v>
      </c>
      <c r="W41" s="111">
        <f>Table11234579[[#This Row],[M (KN.mm)]]/$G$43</f>
        <v>0.85418208734270906</v>
      </c>
      <c r="X41" s="111">
        <f>V41</f>
        <v>1.6439672794634019</v>
      </c>
      <c r="Y41" s="111">
        <v>3000</v>
      </c>
      <c r="Z41" s="111">
        <v>925</v>
      </c>
      <c r="AA41" s="111">
        <v>1000</v>
      </c>
      <c r="AB41" s="111">
        <v>300</v>
      </c>
      <c r="AC41" s="7">
        <v>58</v>
      </c>
      <c r="AD41" s="111">
        <f>Table11234579[[#This Row],[pho (%)]]*Table11234579[[#This Row],[b (mm)]]*Table11234579[[#This Row],[h (mm)]]/100</f>
        <v>2940</v>
      </c>
      <c r="AE41" s="160">
        <f t="shared" si="4"/>
        <v>0.98</v>
      </c>
      <c r="AF41" s="160">
        <v>525</v>
      </c>
      <c r="AG41" s="111">
        <f>(1/3-0.21*(MIN(Table11234579[[#This Row],[b (mm)]],AA41)/MAX(Table11234579[[#This Row],[b (mm)]],AA41))*(MIN(Table11234579[[#This Row],[b (mm)]],AA41)^4/(12*MAX(Table11234579[[#This Row],[b (mm)]],AA41)^4)))*MAX(Table11234579[[#This Row],[b (mm)]],AA41)*MIN(Table11234579[[#This Row],[b (mm)]],AA41)^3</f>
        <v>8998851825</v>
      </c>
      <c r="AH41" s="111">
        <f>Table11234579[[#This Row],[b (mm)]]*AA41^3/12</f>
        <v>25000000000</v>
      </c>
      <c r="AI41" s="111">
        <v>6000</v>
      </c>
      <c r="AJ41" s="139"/>
      <c r="AK41" s="139"/>
      <c r="AL41" s="139"/>
      <c r="AM41" s="139"/>
      <c r="AN41" s="139"/>
      <c r="AO41" s="139"/>
      <c r="AP41" s="139"/>
      <c r="AQ41" s="1"/>
      <c r="AR41" s="1"/>
    </row>
    <row r="42" spans="1:44" x14ac:dyDescent="0.25">
      <c r="A42" s="163" t="s">
        <v>191</v>
      </c>
      <c r="B42" s="285">
        <v>8</v>
      </c>
      <c r="C42" s="285">
        <v>41</v>
      </c>
      <c r="D42" s="275">
        <f>Table11234579[[#This Row],[a (mm)]]/Table11234579[[#This Row],[d (mm)]]</f>
        <v>3.2432432432432434</v>
      </c>
      <c r="E42" s="286">
        <f>1299/2</f>
        <v>649.5</v>
      </c>
      <c r="F42" s="137">
        <f>Table11234579[[#This Row],[d (mm)]]</f>
        <v>925</v>
      </c>
      <c r="G42" s="111">
        <f t="shared" si="5"/>
        <v>1948500</v>
      </c>
      <c r="H42" s="111">
        <f t="shared" si="0"/>
        <v>2.9593594554653501E-6</v>
      </c>
      <c r="I42" s="111">
        <f>G42/(Table11234579[[#This Row],[b (mm)]]*Z42^2)</f>
        <v>7.5909422936449962E-3</v>
      </c>
      <c r="J42" s="111">
        <f t="shared" si="1"/>
        <v>1.3647466708691198</v>
      </c>
      <c r="K42" s="111">
        <f t="shared" si="2"/>
        <v>2.2985947294221813E-6</v>
      </c>
      <c r="L42" s="111">
        <f>E42/(Table11234579[[#This Row],[b (mm)]]*Z42)</f>
        <v>2.3405405405405406E-3</v>
      </c>
      <c r="M42" s="111">
        <f>Table11234579[[#This Row],[M (KN.mm)]]/(Table11234579[[#This Row],[b (mm)]]*Table11234579[[#This Row],[d (mm)]])</f>
        <v>7.0216216216216214</v>
      </c>
      <c r="N42" s="111">
        <f>Table11234579[[#This Row],[M (KN.mm)]]/(Table11234579[[#This Row],[b (mm)]]*Table11234579[[#This Row],[h (mm)]])</f>
        <v>6.4950000000000001</v>
      </c>
      <c r="O42" s="111">
        <f>Table11234579[[#This Row],[M (KN.mm)]]/(Table11234579[[#This Row],[b (mm)]]*Table11234579[[#This Row],[h (mm)]]*Table11234579[[#This Row],[L(mm)]])</f>
        <v>1.0824999999999999E-3</v>
      </c>
      <c r="P42" s="111">
        <f>Table11234579[[#This Row],[M (KN.mm)]]/(Table11234579[[#This Row],[b (mm)]]*Table11234579[[#This Row],[d (mm)]]*Table11234579[[#This Row],[L(mm)]])</f>
        <v>1.1702702702702703E-3</v>
      </c>
      <c r="Q42" s="111">
        <f>Table11234579[[#This Row],[M (KN.mm)]]/(Table11234579[[#This Row],[b (mm)]]*Table11234579[[#This Row],[h (mm)]]*Table11234579[[#This Row],[L(mm)]]*Table11234579[[#This Row],[fc (Mpa)]])</f>
        <v>1.8663793103448276E-5</v>
      </c>
      <c r="R42" s="111">
        <f>Table11234579[[#This Row],[M (KN.mm)]]/(Table11234579[[#This Row],[b (mm)]]*Table11234579[[#This Row],[h (mm)]]*Table11234579[[#This Row],[L(mm)]]/2)</f>
        <v>2.1649999999999998E-3</v>
      </c>
      <c r="S42" s="111">
        <f>Table11234579[[#This Row],[M (KN.mm)]]/(Table11234579[[#This Row],[a (mm)]]*Table11234579[[#This Row],[b (mm)]]*Table11234579[[#This Row],[h (mm)]]*Table11234579[[#This Row],[L(mm)]]/2)</f>
        <v>7.2166666666666671E-7</v>
      </c>
      <c r="T42" s="111">
        <f>G42/($AL$5*AH42*0.001*Table11234579[[#This Row],[pho (%)]])</f>
        <v>3.0197545463932142E-6</v>
      </c>
      <c r="U42" s="111">
        <f>Table11234579[[#This Row],[M (KN.mm)]]/(Table11234579[[#This Row],[b (mm)]]*Table11234579[[#This Row],[d (mm)]]*Table11234579[[#This Row],[pho (%)]])</f>
        <v>7.164920022062879</v>
      </c>
      <c r="V42" s="111">
        <f>E42*224.8/(2*SQRT(Table11234579[[#This Row],[fc (Mpa)]]*145.037)*Table11234579[[#This Row],[b (mm)]]*Table11234579[[#This Row],[d (mm)]]*(1/25.4)^2)</f>
        <v>1.8505316256698086</v>
      </c>
      <c r="W42" s="111">
        <f>Table11234579[[#This Row],[M (KN.mm)]]/$G$43</f>
        <v>0.96150999259807546</v>
      </c>
      <c r="X42" s="111">
        <f>V42</f>
        <v>1.8505316256698086</v>
      </c>
      <c r="Y42" s="111">
        <v>3000</v>
      </c>
      <c r="Z42" s="111">
        <v>925</v>
      </c>
      <c r="AA42" s="111">
        <v>1000</v>
      </c>
      <c r="AB42" s="111">
        <v>300</v>
      </c>
      <c r="AC42" s="7">
        <v>58</v>
      </c>
      <c r="AD42" s="111">
        <f>Table11234579[[#This Row],[pho (%)]]*Table11234579[[#This Row],[b (mm)]]*Table11234579[[#This Row],[h (mm)]]/100</f>
        <v>2940</v>
      </c>
      <c r="AE42" s="160">
        <f t="shared" si="4"/>
        <v>0.98</v>
      </c>
      <c r="AF42" s="160">
        <v>525</v>
      </c>
      <c r="AG42" s="111">
        <f>(1/3-0.21*(MIN(Table11234579[[#This Row],[b (mm)]],AA42)/MAX(Table11234579[[#This Row],[b (mm)]],AA42))*(MIN(Table11234579[[#This Row],[b (mm)]],AA42)^4/(12*MAX(Table11234579[[#This Row],[b (mm)]],AA42)^4)))*MAX(Table11234579[[#This Row],[b (mm)]],AA42)*MIN(Table11234579[[#This Row],[b (mm)]],AA42)^3</f>
        <v>8998851825</v>
      </c>
      <c r="AH42" s="111">
        <f>Table11234579[[#This Row],[b (mm)]]*AA42^3/12</f>
        <v>25000000000</v>
      </c>
      <c r="AI42" s="111">
        <v>6000</v>
      </c>
      <c r="AJ42" s="139"/>
      <c r="AK42" s="139"/>
      <c r="AL42" s="139"/>
      <c r="AM42" s="139"/>
      <c r="AN42" s="139"/>
      <c r="AO42" s="139"/>
      <c r="AP42" s="139"/>
      <c r="AQ42" s="1"/>
      <c r="AR42" s="1"/>
    </row>
    <row r="43" spans="1:44" x14ac:dyDescent="0.25">
      <c r="A43" s="163" t="s">
        <v>191</v>
      </c>
      <c r="B43" s="285" t="s">
        <v>192</v>
      </c>
      <c r="C43" s="285">
        <v>42</v>
      </c>
      <c r="D43" s="275">
        <f>Table11234579[[#This Row],[a (mm)]]/Table11234579[[#This Row],[d (mm)]]</f>
        <v>3.2432432432432434</v>
      </c>
      <c r="E43" s="286">
        <f>1351/2</f>
        <v>675.5</v>
      </c>
      <c r="F43" s="137">
        <f>Table11234579[[#This Row],[d (mm)]]</f>
        <v>925</v>
      </c>
      <c r="G43" s="111">
        <f>E43*Y43</f>
        <v>2026500</v>
      </c>
      <c r="H43" s="111">
        <f t="shared" si="0"/>
        <v>3.0778249609959107E-6</v>
      </c>
      <c r="I43" s="111">
        <f>G43/(Table11234579[[#This Row],[b (mm)]]*Z43^2)</f>
        <v>7.8948137326515701E-3</v>
      </c>
      <c r="J43" s="111">
        <f t="shared" si="1"/>
        <v>1.4193785622357051</v>
      </c>
      <c r="K43" s="111">
        <f>E43/($AL$4*AG43*0.001)</f>
        <v>2.3906092990372339E-6</v>
      </c>
      <c r="L43" s="111">
        <f>E43/(Table11234579[[#This Row],[b (mm)]]*Z43)</f>
        <v>2.4342342342342344E-3</v>
      </c>
      <c r="M43" s="111">
        <f>Table11234579[[#This Row],[M (KN.mm)]]/(Table11234579[[#This Row],[b (mm)]]*Table11234579[[#This Row],[d (mm)]])</f>
        <v>7.3027027027027023</v>
      </c>
      <c r="N43" s="111">
        <f>Table11234579[[#This Row],[M (KN.mm)]]/(Table11234579[[#This Row],[b (mm)]]*Table11234579[[#This Row],[h (mm)]])</f>
        <v>6.7549999999999999</v>
      </c>
      <c r="O43" s="111">
        <f>Table11234579[[#This Row],[M (KN.mm)]]/(Table11234579[[#This Row],[b (mm)]]*Table11234579[[#This Row],[h (mm)]]*Table11234579[[#This Row],[L(mm)]])</f>
        <v>1.1258333333333333E-3</v>
      </c>
      <c r="P43" s="111">
        <f>Table11234579[[#This Row],[M (KN.mm)]]/(Table11234579[[#This Row],[b (mm)]]*Table11234579[[#This Row],[d (mm)]]*Table11234579[[#This Row],[L(mm)]])</f>
        <v>1.2171171171171172E-3</v>
      </c>
      <c r="Q43" s="111">
        <f>Table11234579[[#This Row],[M (KN.mm)]]/(Table11234579[[#This Row],[b (mm)]]*Table11234579[[#This Row],[h (mm)]]*Table11234579[[#This Row],[L(mm)]]*Table11234579[[#This Row],[fc (Mpa)]])</f>
        <v>1.9410919540229885E-5</v>
      </c>
      <c r="R43" s="111">
        <f>Table11234579[[#This Row],[M (KN.mm)]]/(Table11234579[[#This Row],[b (mm)]]*Table11234579[[#This Row],[h (mm)]]*Table11234579[[#This Row],[L(mm)]]/2)</f>
        <v>2.2516666666666666E-3</v>
      </c>
      <c r="S43" s="111">
        <f>Table11234579[[#This Row],[M (KN.mm)]]/(Table11234579[[#This Row],[a (mm)]]*Table11234579[[#This Row],[b (mm)]]*Table11234579[[#This Row],[h (mm)]]*Table11234579[[#This Row],[L(mm)]]/2)</f>
        <v>7.5055555555555556E-7</v>
      </c>
      <c r="T43" s="111">
        <f>G43/($AL$5*AH43*0.001*Table11234579[[#This Row],[pho (%)]])</f>
        <v>3.1406377153019496E-6</v>
      </c>
      <c r="U43" s="111">
        <f>Table11234579[[#This Row],[M (KN.mm)]]/(Table11234579[[#This Row],[b (mm)]]*Table11234579[[#This Row],[d (mm)]]*Table11234579[[#This Row],[pho (%)]])</f>
        <v>7.4517374517374515</v>
      </c>
      <c r="V43" s="111">
        <f>E43*224.8/(2*SQRT(Table11234579[[#This Row],[fc (Mpa)]]*145.037)*Table11234579[[#This Row],[b (mm)]]*Table11234579[[#This Row],[d (mm)]]*(1/25.4)^2)</f>
        <v>1.9246098739645199</v>
      </c>
      <c r="W43" s="111">
        <f>Table11234579[[#This Row],[M (KN.mm)]]/$G$43</f>
        <v>1</v>
      </c>
      <c r="X43" s="111">
        <f>V43</f>
        <v>1.9246098739645199</v>
      </c>
      <c r="Y43" s="111">
        <v>3000</v>
      </c>
      <c r="Z43" s="111">
        <v>925</v>
      </c>
      <c r="AA43" s="111">
        <v>1000</v>
      </c>
      <c r="AB43" s="111">
        <v>300</v>
      </c>
      <c r="AC43" s="7">
        <v>58</v>
      </c>
      <c r="AD43" s="111">
        <f>Table11234579[[#This Row],[pho (%)]]*Table11234579[[#This Row],[b (mm)]]*Table11234579[[#This Row],[h (mm)]]/100</f>
        <v>2940</v>
      </c>
      <c r="AE43" s="160">
        <f t="shared" si="4"/>
        <v>0.98</v>
      </c>
      <c r="AF43" s="160">
        <v>525</v>
      </c>
      <c r="AG43" s="111">
        <f>(1/3-0.21*(MIN(Table11234579[[#This Row],[b (mm)]],AA43)/MAX(Table11234579[[#This Row],[b (mm)]],AA43))*(MIN(Table11234579[[#This Row],[b (mm)]],AA43)^4/(12*MAX(Table11234579[[#This Row],[b (mm)]],AA43)^4)))*MAX(Table11234579[[#This Row],[b (mm)]],AA43)*MIN(Table11234579[[#This Row],[b (mm)]],AA43)^3</f>
        <v>8998851825</v>
      </c>
      <c r="AH43" s="111">
        <f>Table11234579[[#This Row],[b (mm)]]*AA43^3/12</f>
        <v>25000000000</v>
      </c>
      <c r="AI43" s="111">
        <v>6000</v>
      </c>
      <c r="AJ43" s="139"/>
      <c r="AK43" s="139"/>
      <c r="AL43" s="139"/>
      <c r="AM43" s="139"/>
      <c r="AN43" s="139"/>
      <c r="AO43" s="139"/>
      <c r="AP43" s="139"/>
      <c r="AQ43" s="1"/>
      <c r="AR43" s="1"/>
    </row>
    <row r="44" spans="1:44" customFormat="1" x14ac:dyDescent="0.25">
      <c r="B44" s="1"/>
      <c r="C44" s="1"/>
      <c r="D44" s="177"/>
      <c r="E44" s="177"/>
    </row>
    <row r="45" spans="1:44" x14ac:dyDescent="0.25">
      <c r="A45"/>
      <c r="B45" s="1"/>
      <c r="C45" s="1"/>
      <c r="D45" s="177"/>
      <c r="E45" s="177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s="139"/>
      <c r="AO45" s="139"/>
      <c r="AP45" s="139"/>
      <c r="AQ45" s="1"/>
      <c r="AR45" s="1"/>
    </row>
    <row r="46" spans="1:44" x14ac:dyDescent="0.25">
      <c r="A46"/>
      <c r="B46" s="1"/>
      <c r="C46" s="1"/>
      <c r="D46" s="177"/>
      <c r="E46" s="177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s="139"/>
      <c r="AO46" s="139"/>
      <c r="AP46" s="139"/>
      <c r="AQ46" s="1"/>
      <c r="AR46" s="1"/>
    </row>
    <row r="47" spans="1:44" x14ac:dyDescent="0.25">
      <c r="A47"/>
      <c r="B47" s="1"/>
      <c r="C47" s="1"/>
      <c r="D47" s="177"/>
      <c r="E47" s="17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s="139"/>
      <c r="AO47" s="139"/>
      <c r="AP47" s="139"/>
      <c r="AQ47" s="1"/>
      <c r="AR47" s="1"/>
    </row>
    <row r="48" spans="1:44" x14ac:dyDescent="0.25">
      <c r="A48"/>
      <c r="B48" s="1"/>
      <c r="C48" s="1"/>
      <c r="D48" s="177"/>
      <c r="E48" s="177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s="139"/>
      <c r="AO48" s="139"/>
      <c r="AP48" s="139"/>
      <c r="AQ48" s="1"/>
      <c r="AR48" s="1"/>
    </row>
    <row r="49" spans="1:44" x14ac:dyDescent="0.25">
      <c r="A49"/>
      <c r="B49" s="1"/>
      <c r="C49" s="1"/>
      <c r="D49" s="177"/>
      <c r="E49" s="177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s="139"/>
      <c r="AO49" s="139"/>
      <c r="AP49" s="139"/>
      <c r="AQ49" s="1"/>
      <c r="AR49" s="1"/>
    </row>
    <row r="50" spans="1:44" x14ac:dyDescent="0.25">
      <c r="A50"/>
      <c r="B50" s="1"/>
      <c r="C50" s="1"/>
      <c r="D50" s="177"/>
      <c r="E50" s="177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s="139"/>
      <c r="AO50" s="139"/>
      <c r="AP50" s="139"/>
      <c r="AQ50" s="1"/>
      <c r="AR50" s="1"/>
    </row>
    <row r="51" spans="1:44" x14ac:dyDescent="0.25">
      <c r="A51"/>
      <c r="B51" s="1"/>
      <c r="C51" s="1"/>
      <c r="D51" s="177"/>
      <c r="E51" s="177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s="139"/>
      <c r="AO51" s="139"/>
      <c r="AP51" s="139"/>
      <c r="AQ51" s="1"/>
      <c r="AR51" s="1"/>
    </row>
    <row r="52" spans="1:44" x14ac:dyDescent="0.25">
      <c r="A52"/>
      <c r="B52" s="1"/>
      <c r="C52" s="1"/>
      <c r="D52" s="177"/>
      <c r="E52" s="177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s="139"/>
      <c r="AO52" s="139"/>
      <c r="AP52" s="139"/>
      <c r="AQ52" s="1"/>
      <c r="AR52" s="1"/>
    </row>
    <row r="53" spans="1:44" x14ac:dyDescent="0.25">
      <c r="A53"/>
      <c r="B53" s="1"/>
      <c r="C53" s="1"/>
      <c r="D53" s="177"/>
      <c r="E53" s="177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s="139"/>
      <c r="AO53" s="139"/>
      <c r="AP53" s="139"/>
      <c r="AQ53" s="1"/>
      <c r="AR53" s="1"/>
    </row>
    <row r="54" spans="1:44" x14ac:dyDescent="0.25">
      <c r="A54"/>
      <c r="B54" s="1"/>
      <c r="C54" s="1"/>
      <c r="D54" s="177"/>
      <c r="E54" s="177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s="105"/>
      <c r="AO54" s="105"/>
      <c r="AP54" s="105"/>
    </row>
    <row r="55" spans="1:44" x14ac:dyDescent="0.25">
      <c r="A55"/>
      <c r="B55" s="1"/>
      <c r="C55" s="1"/>
      <c r="D55" s="177"/>
      <c r="E55" s="177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s="105"/>
      <c r="AO55" s="105"/>
      <c r="AP55" s="105"/>
    </row>
    <row r="56" spans="1:44" x14ac:dyDescent="0.25">
      <c r="A56"/>
      <c r="B56" s="1"/>
      <c r="C56" s="1"/>
      <c r="D56" s="177"/>
      <c r="E56" s="177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s="105"/>
      <c r="AO56" s="105"/>
      <c r="AP56" s="105"/>
    </row>
    <row r="57" spans="1:44" x14ac:dyDescent="0.25">
      <c r="A57"/>
      <c r="B57" s="1"/>
      <c r="C57" s="1"/>
      <c r="D57" s="177"/>
      <c r="E57" s="17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</row>
    <row r="58" spans="1:44" x14ac:dyDescent="0.25">
      <c r="A58"/>
      <c r="B58" s="1"/>
      <c r="C58" s="1"/>
      <c r="D58" s="177"/>
      <c r="E58" s="177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</row>
    <row r="59" spans="1:44" x14ac:dyDescent="0.25">
      <c r="A59"/>
      <c r="B59" s="1"/>
      <c r="C59" s="1"/>
      <c r="D59" s="177"/>
      <c r="E59" s="17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</row>
    <row r="60" spans="1:44" x14ac:dyDescent="0.25">
      <c r="A60"/>
      <c r="B60" s="1"/>
      <c r="C60" s="1"/>
      <c r="D60" s="177"/>
      <c r="E60" s="177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</row>
    <row r="61" spans="1:44" x14ac:dyDescent="0.25">
      <c r="A61"/>
      <c r="B61" s="1"/>
      <c r="C61" s="1"/>
      <c r="D61" s="177"/>
      <c r="E61" s="177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</row>
    <row r="62" spans="1:44" x14ac:dyDescent="0.25">
      <c r="A62"/>
      <c r="B62" s="1"/>
      <c r="C62" s="1"/>
      <c r="D62" s="177"/>
      <c r="E62" s="177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</row>
    <row r="63" spans="1:44" x14ac:dyDescent="0.25">
      <c r="A63"/>
      <c r="B63" s="1"/>
      <c r="C63" s="1"/>
      <c r="D63" s="177"/>
      <c r="E63" s="177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</row>
    <row r="64" spans="1:44" s="1" customFormat="1" x14ac:dyDescent="0.25">
      <c r="A64"/>
      <c r="D64" s="177"/>
      <c r="E64" s="177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</row>
    <row r="65" spans="1:39" s="1" customFormat="1" x14ac:dyDescent="0.25">
      <c r="A65"/>
      <c r="D65" s="177"/>
      <c r="E65" s="17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</row>
    <row r="66" spans="1:39" s="1" customFormat="1" x14ac:dyDescent="0.25">
      <c r="A66"/>
      <c r="D66" s="177"/>
      <c r="E66" s="177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</row>
    <row r="67" spans="1:39" x14ac:dyDescent="0.25">
      <c r="A67"/>
      <c r="B67" s="1"/>
      <c r="C67" s="1"/>
      <c r="D67" s="177"/>
      <c r="E67" s="17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</row>
    <row r="68" spans="1:39" x14ac:dyDescent="0.25">
      <c r="A68"/>
      <c r="B68" s="1"/>
      <c r="C68" s="1"/>
      <c r="D68" s="177"/>
      <c r="E68" s="177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</row>
    <row r="69" spans="1:39" x14ac:dyDescent="0.25">
      <c r="A69"/>
      <c r="B69" s="1"/>
      <c r="C69" s="1"/>
      <c r="D69" s="177"/>
      <c r="E69" s="177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</row>
    <row r="70" spans="1:39" x14ac:dyDescent="0.25">
      <c r="A70"/>
      <c r="B70" s="1"/>
      <c r="C70" s="1"/>
      <c r="D70" s="177"/>
      <c r="E70" s="177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</row>
    <row r="71" spans="1:39" x14ac:dyDescent="0.25">
      <c r="A71"/>
      <c r="B71" s="1"/>
      <c r="C71" s="1"/>
      <c r="D71" s="177"/>
      <c r="E71" s="17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</row>
    <row r="72" spans="1:39" x14ac:dyDescent="0.25">
      <c r="A72"/>
      <c r="B72" s="1"/>
      <c r="C72" s="1"/>
      <c r="D72" s="177"/>
      <c r="E72" s="177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</row>
    <row r="73" spans="1:39" x14ac:dyDescent="0.25">
      <c r="A73"/>
      <c r="B73" s="1"/>
      <c r="C73" s="1"/>
      <c r="D73" s="177"/>
      <c r="E73" s="177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</row>
    <row r="74" spans="1:39" x14ac:dyDescent="0.25">
      <c r="A74"/>
      <c r="B74" s="1"/>
      <c r="C74" s="1"/>
      <c r="D74" s="177"/>
      <c r="E74" s="177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</row>
    <row r="75" spans="1:39" x14ac:dyDescent="0.25">
      <c r="A75"/>
      <c r="B75" s="1"/>
      <c r="C75" s="1"/>
      <c r="D75" s="177"/>
      <c r="E75" s="17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</row>
    <row r="76" spans="1:39" x14ac:dyDescent="0.25">
      <c r="A76"/>
      <c r="B76" s="1"/>
      <c r="C76" s="1"/>
      <c r="D76" s="177"/>
      <c r="E76" s="177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</row>
    <row r="77" spans="1:39" x14ac:dyDescent="0.25">
      <c r="A77"/>
      <c r="B77" s="1"/>
      <c r="C77" s="1"/>
      <c r="D77" s="177"/>
      <c r="E77" s="1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</row>
    <row r="78" spans="1:39" x14ac:dyDescent="0.25">
      <c r="A78"/>
      <c r="B78" s="1"/>
      <c r="C78" s="1"/>
      <c r="D78" s="177"/>
      <c r="E78" s="177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</row>
    <row r="79" spans="1:39" x14ac:dyDescent="0.25">
      <c r="A79"/>
      <c r="B79" s="1"/>
      <c r="C79" s="1"/>
      <c r="D79" s="177"/>
      <c r="E79" s="177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</row>
    <row r="80" spans="1:39" x14ac:dyDescent="0.25">
      <c r="A80"/>
      <c r="B80" s="1"/>
      <c r="C80" s="1"/>
      <c r="D80" s="177"/>
      <c r="E80" s="177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</row>
    <row r="81" spans="1:39" x14ac:dyDescent="0.25">
      <c r="A81"/>
      <c r="B81" s="1"/>
      <c r="C81" s="1"/>
      <c r="D81" s="177"/>
      <c r="E81" s="17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</row>
    <row r="82" spans="1:39" x14ac:dyDescent="0.25">
      <c r="A82"/>
      <c r="B82" s="1"/>
      <c r="C82" s="1"/>
      <c r="D82" s="177"/>
      <c r="E82" s="177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</row>
    <row r="83" spans="1:39" x14ac:dyDescent="0.25">
      <c r="A83"/>
      <c r="B83" s="1"/>
      <c r="C83" s="1"/>
      <c r="D83" s="177"/>
      <c r="E83" s="177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</row>
    <row r="84" spans="1:39" x14ac:dyDescent="0.25">
      <c r="A84"/>
      <c r="B84" s="1"/>
      <c r="C84" s="1"/>
      <c r="D84" s="177"/>
      <c r="E84" s="177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</row>
    <row r="85" spans="1:39" x14ac:dyDescent="0.25">
      <c r="A85"/>
      <c r="B85" s="1"/>
      <c r="C85" s="1"/>
      <c r="D85" s="177"/>
      <c r="E85" s="177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</row>
    <row r="86" spans="1:39" x14ac:dyDescent="0.25">
      <c r="A86"/>
      <c r="B86" s="1"/>
      <c r="C86" s="1"/>
      <c r="D86" s="177"/>
      <c r="E86" s="177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</row>
    <row r="87" spans="1:39" x14ac:dyDescent="0.25">
      <c r="A87"/>
      <c r="B87" s="1"/>
      <c r="C87" s="1"/>
      <c r="D87" s="177"/>
      <c r="E87" s="17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</row>
    <row r="88" spans="1:39" x14ac:dyDescent="0.25">
      <c r="A88"/>
      <c r="B88" s="1"/>
      <c r="C88" s="1"/>
      <c r="D88" s="177"/>
      <c r="E88" s="177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</row>
    <row r="89" spans="1:39" x14ac:dyDescent="0.25">
      <c r="A89"/>
      <c r="B89" s="1"/>
      <c r="C89" s="1"/>
      <c r="D89" s="177"/>
      <c r="E89" s="177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</row>
    <row r="90" spans="1:39" x14ac:dyDescent="0.25">
      <c r="A90"/>
      <c r="B90" s="1"/>
      <c r="C90" s="1"/>
      <c r="D90" s="177"/>
      <c r="E90" s="177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</row>
    <row r="91" spans="1:39" x14ac:dyDescent="0.25">
      <c r="A91"/>
      <c r="B91" s="1"/>
      <c r="C91" s="1"/>
      <c r="D91" s="177"/>
      <c r="E91" s="177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</row>
    <row r="92" spans="1:39" x14ac:dyDescent="0.25">
      <c r="A92"/>
      <c r="B92" s="1"/>
      <c r="C92" s="1"/>
      <c r="D92" s="177"/>
      <c r="E92" s="177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</row>
    <row r="93" spans="1:39" x14ac:dyDescent="0.25">
      <c r="A93"/>
      <c r="B93" s="1"/>
      <c r="C93" s="1"/>
      <c r="D93" s="177"/>
      <c r="E93" s="17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</row>
    <row r="94" spans="1:39" x14ac:dyDescent="0.25">
      <c r="A94"/>
      <c r="B94" s="1"/>
      <c r="C94" s="1"/>
      <c r="D94" s="177"/>
      <c r="E94" s="177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</row>
    <row r="95" spans="1:39" x14ac:dyDescent="0.25">
      <c r="A95"/>
      <c r="B95" s="1"/>
      <c r="C95" s="1"/>
      <c r="D95" s="177"/>
      <c r="E95" s="177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</row>
    <row r="96" spans="1:39" x14ac:dyDescent="0.25">
      <c r="A96"/>
      <c r="B96" s="1"/>
      <c r="C96" s="1"/>
      <c r="D96" s="177"/>
      <c r="E96" s="177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</row>
    <row r="97" spans="1:39" x14ac:dyDescent="0.25">
      <c r="A97"/>
      <c r="B97" s="1"/>
      <c r="C97" s="1"/>
      <c r="D97" s="177"/>
      <c r="E97" s="17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</row>
    <row r="98" spans="1:39" x14ac:dyDescent="0.25">
      <c r="A98"/>
      <c r="B98" s="1"/>
      <c r="C98" s="1"/>
      <c r="D98" s="177"/>
      <c r="E98" s="177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</row>
    <row r="99" spans="1:39" x14ac:dyDescent="0.25">
      <c r="A99"/>
      <c r="B99" s="1"/>
      <c r="C99" s="1"/>
      <c r="D99" s="177"/>
      <c r="E99" s="177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</row>
    <row r="100" spans="1:39" x14ac:dyDescent="0.25">
      <c r="A100"/>
      <c r="B100" s="1"/>
      <c r="C100" s="1"/>
      <c r="D100" s="177"/>
      <c r="E100" s="17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</row>
    <row r="101" spans="1:39" x14ac:dyDescent="0.25">
      <c r="A101"/>
      <c r="B101" s="1"/>
      <c r="C101" s="1"/>
      <c r="D101" s="177"/>
      <c r="E101" s="177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</row>
    <row r="102" spans="1:39" x14ac:dyDescent="0.25">
      <c r="A102"/>
      <c r="B102" s="1"/>
      <c r="C102" s="1"/>
      <c r="D102" s="177"/>
      <c r="E102" s="177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</row>
    <row r="103" spans="1:39" x14ac:dyDescent="0.25">
      <c r="A103"/>
      <c r="B103" s="1"/>
      <c r="C103" s="1"/>
      <c r="D103" s="177"/>
      <c r="E103" s="177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</row>
    <row r="104" spans="1:39" x14ac:dyDescent="0.25">
      <c r="A104"/>
      <c r="B104" s="1"/>
      <c r="C104" s="1"/>
      <c r="D104" s="177"/>
      <c r="E104" s="177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</row>
    <row r="105" spans="1:39" x14ac:dyDescent="0.25">
      <c r="A105"/>
      <c r="B105" s="1"/>
      <c r="C105" s="1"/>
      <c r="D105" s="177"/>
      <c r="E105" s="177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</row>
    <row r="106" spans="1:39" x14ac:dyDescent="0.25">
      <c r="A106"/>
      <c r="B106" s="1"/>
      <c r="C106" s="1"/>
      <c r="D106" s="177"/>
      <c r="E106" s="177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</row>
    <row r="107" spans="1:39" x14ac:dyDescent="0.25">
      <c r="A107"/>
      <c r="B107" s="1"/>
      <c r="C107" s="1"/>
      <c r="D107" s="177"/>
      <c r="E107" s="17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</row>
    <row r="108" spans="1:39" x14ac:dyDescent="0.25">
      <c r="A108"/>
      <c r="B108" s="1"/>
      <c r="C108" s="1"/>
      <c r="D108" s="177"/>
      <c r="E108" s="17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</row>
    <row r="109" spans="1:39" x14ac:dyDescent="0.25">
      <c r="A109"/>
      <c r="B109" s="1"/>
      <c r="C109" s="1"/>
      <c r="D109" s="177"/>
      <c r="E109" s="177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</row>
    <row r="110" spans="1:39" x14ac:dyDescent="0.25">
      <c r="A110"/>
      <c r="B110" s="1"/>
      <c r="C110" s="1"/>
      <c r="D110" s="177"/>
      <c r="E110" s="177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x14ac:dyDescent="0.25">
      <c r="A111"/>
      <c r="B111" s="1"/>
      <c r="C111" s="1"/>
      <c r="D111" s="177"/>
      <c r="E111" s="177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x14ac:dyDescent="0.25">
      <c r="A112"/>
      <c r="B112" s="1"/>
      <c r="C112" s="1"/>
      <c r="D112" s="177"/>
      <c r="E112" s="177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1:39" x14ac:dyDescent="0.25">
      <c r="A113"/>
      <c r="B113" s="1"/>
      <c r="C113" s="1"/>
      <c r="D113" s="177"/>
      <c r="E113" s="177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 spans="1:39" x14ac:dyDescent="0.25">
      <c r="A114"/>
      <c r="B114" s="1"/>
      <c r="C114" s="1"/>
      <c r="D114" s="177"/>
      <c r="E114" s="177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 spans="1:39" x14ac:dyDescent="0.25">
      <c r="A115"/>
      <c r="B115" s="1"/>
      <c r="C115" s="1"/>
      <c r="D115" s="177"/>
      <c r="E115" s="177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 spans="1:39" x14ac:dyDescent="0.25">
      <c r="A116"/>
      <c r="B116" s="1"/>
      <c r="C116" s="1"/>
      <c r="D116" s="177"/>
      <c r="E116" s="177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 spans="1:39" x14ac:dyDescent="0.25">
      <c r="A117"/>
      <c r="B117" s="1"/>
      <c r="C117" s="1"/>
      <c r="D117" s="177"/>
      <c r="E117" s="17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 spans="1:39" x14ac:dyDescent="0.25">
      <c r="A118"/>
      <c r="B118" s="1"/>
      <c r="C118" s="1"/>
      <c r="D118" s="177"/>
      <c r="E118" s="177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</row>
    <row r="119" spans="1:39" x14ac:dyDescent="0.25">
      <c r="A119"/>
      <c r="B119" s="1"/>
      <c r="C119" s="1"/>
      <c r="D119" s="177"/>
      <c r="E119" s="177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 spans="1:39" x14ac:dyDescent="0.25">
      <c r="A120"/>
      <c r="B120" s="1"/>
      <c r="C120" s="1"/>
      <c r="D120" s="177"/>
      <c r="E120" s="177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 spans="1:39" x14ac:dyDescent="0.25">
      <c r="A121"/>
      <c r="B121" s="1"/>
      <c r="C121" s="1"/>
      <c r="D121" s="177"/>
      <c r="E121" s="177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 spans="1:39" x14ac:dyDescent="0.25">
      <c r="A122"/>
      <c r="B122" s="1"/>
      <c r="C122" s="1"/>
      <c r="D122" s="177"/>
      <c r="E122" s="177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 spans="1:39" x14ac:dyDescent="0.25">
      <c r="A123"/>
      <c r="B123" s="1"/>
      <c r="C123" s="1"/>
      <c r="D123" s="177"/>
      <c r="E123" s="177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 spans="1:39" x14ac:dyDescent="0.25">
      <c r="A124"/>
      <c r="B124" s="1"/>
      <c r="C124" s="1"/>
      <c r="D124" s="177"/>
      <c r="E124" s="177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</row>
    <row r="125" spans="1:39" x14ac:dyDescent="0.25">
      <c r="A125"/>
      <c r="B125" s="1"/>
      <c r="C125" s="1"/>
      <c r="D125" s="177"/>
      <c r="E125" s="177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 spans="1:39" x14ac:dyDescent="0.25">
      <c r="A126"/>
      <c r="B126" s="1"/>
      <c r="C126" s="1"/>
      <c r="D126" s="177"/>
      <c r="E126" s="177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 spans="1:39" x14ac:dyDescent="0.25">
      <c r="A127"/>
      <c r="B127" s="1"/>
      <c r="C127" s="1"/>
      <c r="D127" s="177"/>
      <c r="E127" s="17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 spans="1:39" x14ac:dyDescent="0.25">
      <c r="A128"/>
      <c r="B128" s="1"/>
      <c r="C128" s="1"/>
      <c r="D128" s="177"/>
      <c r="E128" s="177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 spans="1:39" x14ac:dyDescent="0.25">
      <c r="A129"/>
      <c r="B129" s="1"/>
      <c r="C129" s="1"/>
      <c r="D129" s="177"/>
      <c r="E129" s="177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 spans="1:39" x14ac:dyDescent="0.25">
      <c r="A130"/>
      <c r="B130" s="1"/>
      <c r="C130" s="1"/>
      <c r="D130" s="177"/>
      <c r="E130" s="177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39" x14ac:dyDescent="0.25">
      <c r="A131"/>
      <c r="B131" s="1"/>
      <c r="C131" s="1"/>
      <c r="D131" s="177"/>
      <c r="E131" s="177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39" x14ac:dyDescent="0.25">
      <c r="A132"/>
      <c r="B132" s="1"/>
      <c r="C132" s="1"/>
      <c r="D132" s="177"/>
      <c r="E132" s="177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39" x14ac:dyDescent="0.25">
      <c r="A133"/>
      <c r="B133" s="1"/>
      <c r="C133" s="1"/>
      <c r="D133" s="177"/>
      <c r="E133" s="177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39" x14ac:dyDescent="0.25">
      <c r="A134"/>
      <c r="B134" s="1"/>
      <c r="C134" s="1"/>
      <c r="D134" s="177"/>
      <c r="E134" s="177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39" x14ac:dyDescent="0.25">
      <c r="A135"/>
      <c r="B135" s="1"/>
      <c r="C135" s="1"/>
      <c r="D135" s="177"/>
      <c r="E135" s="177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39" x14ac:dyDescent="0.25">
      <c r="A136"/>
      <c r="B136" s="1"/>
      <c r="C136" s="1"/>
      <c r="D136" s="177"/>
      <c r="E136" s="177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39" x14ac:dyDescent="0.25">
      <c r="A137"/>
      <c r="B137" s="1"/>
      <c r="C137" s="1"/>
      <c r="D137" s="177"/>
      <c r="E137" s="17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 spans="1:39" x14ac:dyDescent="0.25">
      <c r="A138"/>
      <c r="B138" s="1"/>
      <c r="C138" s="1"/>
      <c r="D138" s="177"/>
      <c r="E138" s="177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39" x14ac:dyDescent="0.25">
      <c r="A139"/>
      <c r="B139" s="1"/>
      <c r="C139" s="1"/>
      <c r="D139" s="177"/>
      <c r="E139" s="177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39" x14ac:dyDescent="0.25">
      <c r="A140"/>
      <c r="B140" s="1"/>
      <c r="C140" s="1"/>
      <c r="D140" s="177"/>
      <c r="E140" s="177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39" x14ac:dyDescent="0.25">
      <c r="A141"/>
      <c r="B141" s="1"/>
      <c r="C141" s="1"/>
      <c r="D141" s="177"/>
      <c r="E141" s="177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39" x14ac:dyDescent="0.25">
      <c r="A142"/>
      <c r="B142" s="1"/>
      <c r="C142" s="1"/>
      <c r="D142" s="177"/>
      <c r="E142" s="177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 spans="1:39" x14ac:dyDescent="0.25">
      <c r="A143"/>
      <c r="B143" s="1"/>
      <c r="C143" s="1"/>
      <c r="D143" s="177"/>
      <c r="E143" s="177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39" x14ac:dyDescent="0.25">
      <c r="A144"/>
      <c r="B144" s="1"/>
      <c r="C144" s="1"/>
      <c r="D144" s="177"/>
      <c r="E144" s="177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39" x14ac:dyDescent="0.25">
      <c r="A145"/>
      <c r="B145" s="1"/>
      <c r="C145" s="1"/>
      <c r="D145" s="177"/>
      <c r="E145" s="177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39" x14ac:dyDescent="0.25">
      <c r="A146"/>
      <c r="B146" s="1"/>
      <c r="C146" s="1"/>
      <c r="D146" s="177"/>
      <c r="E146" s="177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 spans="1:39" x14ac:dyDescent="0.25">
      <c r="A147"/>
      <c r="B147" s="1"/>
      <c r="C147" s="1"/>
      <c r="D147" s="177"/>
      <c r="E147" s="17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 spans="1:39" x14ac:dyDescent="0.25">
      <c r="A148"/>
      <c r="B148" s="1"/>
      <c r="C148" s="1"/>
      <c r="D148" s="177"/>
      <c r="E148" s="177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</row>
    <row r="149" spans="1:39" x14ac:dyDescent="0.25">
      <c r="A149"/>
      <c r="B149" s="1"/>
      <c r="C149" s="1"/>
      <c r="D149" s="177"/>
      <c r="E149" s="177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 spans="1:39" x14ac:dyDescent="0.25">
      <c r="A150"/>
      <c r="B150" s="1"/>
      <c r="C150" s="1"/>
      <c r="D150" s="177"/>
      <c r="E150" s="177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</row>
    <row r="151" spans="1:39" x14ac:dyDescent="0.25">
      <c r="A151"/>
      <c r="B151" s="1"/>
      <c r="C151" s="1"/>
      <c r="D151" s="177"/>
      <c r="E151" s="177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</row>
    <row r="152" spans="1:39" x14ac:dyDescent="0.25">
      <c r="A152"/>
      <c r="B152" s="1"/>
      <c r="C152" s="1"/>
      <c r="D152" s="177"/>
      <c r="E152" s="177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 spans="1:39" x14ac:dyDescent="0.25">
      <c r="A153"/>
      <c r="B153" s="1"/>
      <c r="C153" s="1"/>
      <c r="D153" s="177"/>
      <c r="E153" s="177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</row>
    <row r="154" spans="1:39" x14ac:dyDescent="0.25">
      <c r="A154"/>
      <c r="B154" s="1"/>
      <c r="C154" s="1"/>
      <c r="D154" s="177"/>
      <c r="E154" s="177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</row>
    <row r="155" spans="1:39" x14ac:dyDescent="0.25">
      <c r="A155"/>
      <c r="B155" s="1"/>
      <c r="C155" s="1"/>
      <c r="D155" s="177"/>
      <c r="E155" s="177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 spans="1:39" x14ac:dyDescent="0.25">
      <c r="A156"/>
      <c r="B156" s="1"/>
      <c r="C156" s="1"/>
      <c r="D156" s="177"/>
      <c r="E156" s="177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x14ac:dyDescent="0.25">
      <c r="A157"/>
      <c r="B157" s="1"/>
      <c r="C157" s="1"/>
      <c r="D157" s="177"/>
      <c r="E157" s="17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x14ac:dyDescent="0.25">
      <c r="A158"/>
      <c r="B158" s="1"/>
      <c r="C158" s="1"/>
      <c r="D158" s="177"/>
      <c r="E158" s="177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x14ac:dyDescent="0.25">
      <c r="A159"/>
      <c r="B159" s="1"/>
      <c r="C159" s="1"/>
      <c r="D159" s="177"/>
      <c r="E159" s="177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 spans="1:39" x14ac:dyDescent="0.25">
      <c r="A160"/>
      <c r="B160" s="1"/>
      <c r="C160" s="1"/>
      <c r="D160" s="177"/>
      <c r="E160" s="177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 spans="1:39" x14ac:dyDescent="0.25">
      <c r="A161"/>
      <c r="B161" s="1"/>
      <c r="C161" s="1"/>
      <c r="D161" s="177"/>
      <c r="E161" s="177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x14ac:dyDescent="0.25">
      <c r="A162"/>
      <c r="B162" s="1"/>
      <c r="C162" s="1"/>
      <c r="D162" s="177"/>
      <c r="E162" s="177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x14ac:dyDescent="0.25">
      <c r="A163"/>
      <c r="B163" s="1"/>
      <c r="C163" s="1"/>
      <c r="D163" s="177"/>
      <c r="E163" s="177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 spans="1:39" x14ac:dyDescent="0.25">
      <c r="A164"/>
      <c r="B164" s="1"/>
      <c r="C164" s="1"/>
      <c r="D164" s="177"/>
      <c r="E164" s="177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 spans="1:39" x14ac:dyDescent="0.25">
      <c r="A165"/>
      <c r="B165" s="1"/>
      <c r="C165" s="1"/>
      <c r="D165" s="177"/>
      <c r="E165" s="177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</row>
    <row r="166" spans="1:39" x14ac:dyDescent="0.25">
      <c r="A166"/>
      <c r="B166" s="1"/>
      <c r="C166" s="1"/>
      <c r="D166" s="177"/>
      <c r="E166" s="177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</row>
    <row r="167" spans="1:39" x14ac:dyDescent="0.25">
      <c r="A167"/>
      <c r="B167" s="1"/>
      <c r="C167" s="1"/>
      <c r="D167" s="177"/>
      <c r="E167" s="17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</row>
    <row r="168" spans="1:39" x14ac:dyDescent="0.25">
      <c r="A168"/>
      <c r="B168" s="1"/>
      <c r="C168" s="1"/>
      <c r="D168" s="177"/>
      <c r="E168" s="177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</row>
    <row r="169" spans="1:39" x14ac:dyDescent="0.25">
      <c r="A169"/>
      <c r="B169" s="1"/>
      <c r="C169" s="1"/>
      <c r="D169" s="177"/>
      <c r="E169" s="177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</row>
    <row r="170" spans="1:39" x14ac:dyDescent="0.25">
      <c r="A170"/>
      <c r="B170" s="1"/>
      <c r="C170" s="1"/>
      <c r="D170" s="177"/>
      <c r="E170" s="177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</row>
    <row r="171" spans="1:39" x14ac:dyDescent="0.25">
      <c r="A171"/>
      <c r="B171" s="1"/>
      <c r="C171" s="1"/>
      <c r="D171" s="177"/>
      <c r="E171" s="177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</row>
    <row r="172" spans="1:39" x14ac:dyDescent="0.25">
      <c r="A172"/>
      <c r="B172" s="1"/>
      <c r="C172" s="1"/>
      <c r="D172" s="177"/>
      <c r="E172" s="177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x14ac:dyDescent="0.25">
      <c r="A173"/>
      <c r="B173" s="1"/>
      <c r="C173" s="1"/>
      <c r="D173" s="177"/>
      <c r="E173" s="177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x14ac:dyDescent="0.25">
      <c r="A174"/>
      <c r="B174" s="1"/>
      <c r="C174" s="1"/>
      <c r="D174" s="177"/>
      <c r="E174" s="177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x14ac:dyDescent="0.25">
      <c r="A175"/>
      <c r="B175" s="1"/>
      <c r="C175" s="1"/>
      <c r="D175" s="177"/>
      <c r="E175" s="177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39" x14ac:dyDescent="0.25">
      <c r="A176"/>
      <c r="B176" s="1"/>
      <c r="C176" s="1"/>
      <c r="D176" s="177"/>
      <c r="E176" s="177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x14ac:dyDescent="0.25">
      <c r="A177"/>
      <c r="B177" s="1"/>
      <c r="C177" s="1"/>
      <c r="D177" s="177"/>
      <c r="E177" s="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x14ac:dyDescent="0.25">
      <c r="A178"/>
      <c r="B178" s="1"/>
      <c r="C178" s="1"/>
      <c r="D178" s="177"/>
      <c r="E178" s="177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x14ac:dyDescent="0.25">
      <c r="A179"/>
      <c r="B179" s="1"/>
      <c r="C179" s="1"/>
      <c r="D179" s="177"/>
      <c r="E179" s="177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x14ac:dyDescent="0.25">
      <c r="A180"/>
      <c r="B180" s="1"/>
      <c r="C180" s="1"/>
      <c r="D180" s="177"/>
      <c r="E180" s="177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x14ac:dyDescent="0.25">
      <c r="A181"/>
      <c r="B181" s="1"/>
      <c r="C181" s="1"/>
      <c r="D181" s="177"/>
      <c r="E181" s="177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x14ac:dyDescent="0.25">
      <c r="A182"/>
      <c r="B182" s="1"/>
      <c r="C182" s="1"/>
      <c r="D182" s="177"/>
      <c r="E182" s="177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x14ac:dyDescent="0.25">
      <c r="A183"/>
      <c r="B183" s="1"/>
      <c r="C183" s="1"/>
      <c r="D183" s="177"/>
      <c r="E183" s="177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x14ac:dyDescent="0.25">
      <c r="A184"/>
      <c r="B184" s="1"/>
      <c r="C184" s="1"/>
      <c r="D184" s="177"/>
      <c r="E184" s="177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x14ac:dyDescent="0.25">
      <c r="A185"/>
      <c r="B185" s="1"/>
      <c r="C185" s="1"/>
      <c r="D185" s="177"/>
      <c r="E185" s="177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x14ac:dyDescent="0.25">
      <c r="A186"/>
      <c r="B186" s="1"/>
      <c r="C186" s="1"/>
      <c r="D186" s="177"/>
      <c r="E186" s="177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x14ac:dyDescent="0.25">
      <c r="A187"/>
      <c r="B187" s="1"/>
      <c r="C187" s="1"/>
      <c r="D187" s="177"/>
      <c r="E187" s="17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x14ac:dyDescent="0.25">
      <c r="A188"/>
      <c r="B188" s="1"/>
      <c r="C188" s="1"/>
      <c r="D188" s="177"/>
      <c r="E188" s="177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x14ac:dyDescent="0.25">
      <c r="A189"/>
      <c r="B189" s="1"/>
      <c r="C189" s="1"/>
      <c r="D189" s="177"/>
      <c r="E189" s="177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</row>
    <row r="190" spans="1:39" x14ac:dyDescent="0.25">
      <c r="A190"/>
      <c r="B190" s="1"/>
      <c r="C190" s="1"/>
      <c r="D190" s="177"/>
      <c r="E190" s="177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</row>
    <row r="191" spans="1:39" x14ac:dyDescent="0.25">
      <c r="A191"/>
      <c r="B191" s="1"/>
      <c r="C191" s="1"/>
      <c r="D191" s="177"/>
      <c r="E191" s="177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</row>
    <row r="192" spans="1:39" x14ac:dyDescent="0.25">
      <c r="A192"/>
      <c r="B192" s="1"/>
      <c r="C192" s="1"/>
      <c r="D192" s="177"/>
      <c r="E192" s="177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</row>
    <row r="193" spans="1:39" x14ac:dyDescent="0.25">
      <c r="A193"/>
      <c r="B193" s="1"/>
      <c r="C193" s="1"/>
      <c r="D193" s="177"/>
      <c r="E193" s="177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</row>
    <row r="194" spans="1:39" x14ac:dyDescent="0.25">
      <c r="A194"/>
      <c r="B194" s="1"/>
      <c r="C194" s="1"/>
      <c r="D194" s="177"/>
      <c r="E194" s="177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</row>
    <row r="195" spans="1:39" x14ac:dyDescent="0.25">
      <c r="A195"/>
      <c r="B195" s="1"/>
      <c r="C195" s="1"/>
      <c r="D195" s="177"/>
      <c r="E195" s="177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</row>
    <row r="196" spans="1:39" x14ac:dyDescent="0.25">
      <c r="A196"/>
      <c r="B196" s="1"/>
      <c r="C196" s="1"/>
      <c r="D196" s="177"/>
      <c r="E196" s="177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</row>
    <row r="197" spans="1:39" x14ac:dyDescent="0.25">
      <c r="A197"/>
      <c r="B197" s="1"/>
      <c r="C197" s="1"/>
      <c r="D197" s="177"/>
      <c r="E197" s="17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</row>
    <row r="198" spans="1:39" x14ac:dyDescent="0.25">
      <c r="A198"/>
      <c r="B198" s="1"/>
      <c r="C198" s="1"/>
      <c r="D198" s="177"/>
      <c r="E198" s="177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</row>
    <row r="199" spans="1:39" x14ac:dyDescent="0.25">
      <c r="A199"/>
      <c r="B199" s="1"/>
      <c r="C199" s="1"/>
      <c r="D199" s="177"/>
      <c r="E199" s="177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</row>
    <row r="200" spans="1:39" x14ac:dyDescent="0.25">
      <c r="A200"/>
      <c r="B200" s="1"/>
      <c r="C200" s="1"/>
      <c r="D200" s="177"/>
      <c r="E200" s="177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</row>
    <row r="201" spans="1:39" x14ac:dyDescent="0.25">
      <c r="A201"/>
      <c r="B201" s="1"/>
      <c r="C201" s="1"/>
      <c r="D201" s="177"/>
      <c r="E201" s="177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</row>
    <row r="202" spans="1:39" x14ac:dyDescent="0.25">
      <c r="A202"/>
      <c r="B202" s="1"/>
      <c r="C202" s="1"/>
      <c r="D202" s="177"/>
      <c r="E202" s="177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</row>
    <row r="203" spans="1:39" x14ac:dyDescent="0.25">
      <c r="A203"/>
      <c r="B203" s="1"/>
      <c r="C203" s="1"/>
      <c r="D203" s="177"/>
      <c r="E203" s="177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</row>
    <row r="204" spans="1:39" x14ac:dyDescent="0.25">
      <c r="A204"/>
      <c r="B204" s="1"/>
      <c r="C204" s="1"/>
      <c r="D204" s="177"/>
      <c r="E204" s="177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</row>
    <row r="205" spans="1:39" x14ac:dyDescent="0.25">
      <c r="A205"/>
      <c r="B205" s="1"/>
      <c r="C205" s="1"/>
      <c r="D205" s="177"/>
      <c r="E205" s="177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</row>
    <row r="206" spans="1:39" x14ac:dyDescent="0.25">
      <c r="A206"/>
      <c r="B206" s="1"/>
      <c r="C206" s="1"/>
      <c r="D206" s="177"/>
      <c r="E206" s="177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</row>
    <row r="207" spans="1:39" x14ac:dyDescent="0.25">
      <c r="A207"/>
      <c r="B207" s="1"/>
      <c r="C207" s="1"/>
      <c r="D207" s="177"/>
      <c r="E207" s="17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</row>
    <row r="208" spans="1:39" x14ac:dyDescent="0.25">
      <c r="A208"/>
      <c r="B208" s="1"/>
      <c r="C208" s="1"/>
      <c r="D208" s="177"/>
      <c r="E208" s="177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</row>
    <row r="209" spans="1:39" x14ac:dyDescent="0.25">
      <c r="A209"/>
      <c r="B209" s="1"/>
      <c r="C209" s="1"/>
      <c r="D209" s="177"/>
      <c r="E209" s="177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</row>
    <row r="210" spans="1:39" x14ac:dyDescent="0.25">
      <c r="A210"/>
      <c r="B210" s="1"/>
      <c r="C210" s="1"/>
      <c r="D210" s="177"/>
      <c r="E210" s="177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</row>
    <row r="211" spans="1:39" x14ac:dyDescent="0.25">
      <c r="A211"/>
      <c r="B211" s="1"/>
      <c r="C211" s="1"/>
      <c r="D211" s="177"/>
      <c r="E211" s="177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</row>
    <row r="212" spans="1:39" x14ac:dyDescent="0.25">
      <c r="A212"/>
      <c r="B212" s="1"/>
      <c r="C212" s="1"/>
      <c r="D212" s="177"/>
      <c r="E212" s="177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</row>
    <row r="213" spans="1:39" x14ac:dyDescent="0.25">
      <c r="A213"/>
      <c r="B213" s="1"/>
      <c r="C213" s="1"/>
      <c r="D213" s="177"/>
      <c r="E213" s="177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</row>
    <row r="214" spans="1:39" x14ac:dyDescent="0.25">
      <c r="A214"/>
      <c r="B214" s="1"/>
      <c r="C214" s="1"/>
      <c r="D214" s="177"/>
      <c r="E214" s="177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</row>
    <row r="215" spans="1:39" x14ac:dyDescent="0.25">
      <c r="A215"/>
      <c r="B215" s="1"/>
      <c r="C215" s="1"/>
      <c r="D215" s="177"/>
      <c r="E215" s="177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</row>
    <row r="216" spans="1:39" x14ac:dyDescent="0.25">
      <c r="A216"/>
      <c r="B216" s="1"/>
      <c r="C216" s="1"/>
      <c r="D216" s="177"/>
      <c r="E216" s="177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</row>
    <row r="217" spans="1:39" x14ac:dyDescent="0.25">
      <c r="A217"/>
      <c r="B217" s="1"/>
      <c r="C217" s="1"/>
      <c r="D217" s="177"/>
      <c r="E217" s="17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</row>
    <row r="218" spans="1:39" x14ac:dyDescent="0.25">
      <c r="A218"/>
      <c r="B218" s="1"/>
      <c r="C218" s="1"/>
      <c r="D218" s="177"/>
      <c r="E218" s="177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</row>
    <row r="219" spans="1:39" x14ac:dyDescent="0.25">
      <c r="A219"/>
      <c r="B219" s="1"/>
      <c r="C219" s="1"/>
      <c r="D219" s="177"/>
      <c r="E219" s="177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</row>
    <row r="220" spans="1:39" x14ac:dyDescent="0.25">
      <c r="A220"/>
      <c r="B220" s="1"/>
      <c r="C220" s="1"/>
      <c r="D220" s="177"/>
      <c r="E220" s="177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</row>
    <row r="221" spans="1:39" x14ac:dyDescent="0.25">
      <c r="A221"/>
      <c r="B221" s="1"/>
      <c r="C221" s="1"/>
      <c r="D221" s="177"/>
      <c r="E221" s="177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</row>
    <row r="222" spans="1:39" x14ac:dyDescent="0.25">
      <c r="A222"/>
      <c r="B222" s="1"/>
      <c r="C222" s="1"/>
      <c r="D222" s="177"/>
      <c r="E222" s="177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</row>
    <row r="223" spans="1:39" x14ac:dyDescent="0.25">
      <c r="A223"/>
      <c r="B223" s="1"/>
      <c r="C223" s="1"/>
      <c r="D223" s="177"/>
      <c r="E223" s="177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</row>
    <row r="224" spans="1:39" x14ac:dyDescent="0.25">
      <c r="A224"/>
      <c r="B224" s="1"/>
      <c r="C224" s="1"/>
      <c r="D224" s="177"/>
      <c r="E224" s="177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</row>
    <row r="225" spans="1:39" x14ac:dyDescent="0.25">
      <c r="A225"/>
      <c r="B225" s="1"/>
      <c r="C225" s="1"/>
      <c r="D225" s="177"/>
      <c r="E225" s="177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</row>
    <row r="226" spans="1:39" x14ac:dyDescent="0.25">
      <c r="A226"/>
      <c r="B226" s="1"/>
      <c r="C226" s="1"/>
      <c r="D226" s="177"/>
      <c r="E226" s="177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</row>
    <row r="227" spans="1:39" x14ac:dyDescent="0.25">
      <c r="A227"/>
      <c r="B227" s="1"/>
      <c r="C227" s="1"/>
      <c r="D227" s="177"/>
      <c r="E227" s="17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</row>
    <row r="228" spans="1:39" x14ac:dyDescent="0.25">
      <c r="A228"/>
      <c r="B228" s="1"/>
      <c r="C228" s="1"/>
      <c r="D228" s="177"/>
      <c r="E228" s="177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</row>
    <row r="229" spans="1:39" x14ac:dyDescent="0.25">
      <c r="A229"/>
      <c r="B229" s="1"/>
      <c r="C229" s="1"/>
      <c r="D229" s="177"/>
      <c r="E229" s="177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</row>
    <row r="230" spans="1:39" x14ac:dyDescent="0.25">
      <c r="A230"/>
      <c r="B230" s="1"/>
      <c r="C230" s="1"/>
      <c r="D230" s="177"/>
      <c r="E230" s="177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</row>
    <row r="231" spans="1:39" x14ac:dyDescent="0.25">
      <c r="A231"/>
      <c r="B231" s="1"/>
      <c r="C231" s="1"/>
      <c r="D231" s="177"/>
      <c r="E231" s="177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</row>
    <row r="232" spans="1:39" x14ac:dyDescent="0.25">
      <c r="A232"/>
      <c r="B232" s="1"/>
      <c r="C232" s="1"/>
      <c r="D232" s="177"/>
      <c r="E232" s="177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</row>
    <row r="233" spans="1:39" x14ac:dyDescent="0.25">
      <c r="A233"/>
      <c r="B233" s="1"/>
      <c r="C233" s="1"/>
      <c r="D233" s="177"/>
      <c r="E233" s="177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</row>
    <row r="234" spans="1:39" x14ac:dyDescent="0.25">
      <c r="A234"/>
      <c r="B234" s="1"/>
      <c r="C234" s="1"/>
      <c r="D234" s="177"/>
      <c r="E234" s="177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</row>
    <row r="235" spans="1:39" x14ac:dyDescent="0.25">
      <c r="A235"/>
      <c r="B235" s="1"/>
      <c r="C235" s="1"/>
      <c r="D235" s="177"/>
      <c r="E235" s="177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</row>
    <row r="236" spans="1:39" x14ac:dyDescent="0.25">
      <c r="A236"/>
      <c r="B236" s="1"/>
      <c r="C236" s="1"/>
      <c r="D236" s="177"/>
      <c r="E236" s="177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</row>
    <row r="237" spans="1:39" x14ac:dyDescent="0.25">
      <c r="A237"/>
      <c r="B237" s="1"/>
      <c r="C237" s="1"/>
      <c r="D237" s="177"/>
      <c r="E237" s="17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</row>
    <row r="238" spans="1:39" x14ac:dyDescent="0.25">
      <c r="A238"/>
      <c r="B238" s="1"/>
      <c r="C238" s="1"/>
      <c r="D238" s="177"/>
      <c r="E238" s="177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</row>
    <row r="239" spans="1:39" x14ac:dyDescent="0.25">
      <c r="A239"/>
      <c r="B239" s="1"/>
      <c r="C239" s="1"/>
      <c r="D239" s="177"/>
      <c r="E239" s="177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</row>
    <row r="240" spans="1:39" x14ac:dyDescent="0.25">
      <c r="A240"/>
      <c r="B240" s="1"/>
      <c r="C240" s="1"/>
      <c r="D240" s="177"/>
      <c r="E240" s="177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</row>
    <row r="241" spans="1:39" x14ac:dyDescent="0.25">
      <c r="A241"/>
      <c r="B241" s="1"/>
      <c r="C241" s="1"/>
      <c r="D241" s="177"/>
      <c r="E241" s="177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</row>
    <row r="242" spans="1:39" x14ac:dyDescent="0.25">
      <c r="A242"/>
      <c r="B242" s="1"/>
      <c r="C242" s="1"/>
      <c r="D242" s="177"/>
      <c r="E242" s="177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</row>
    <row r="243" spans="1:39" x14ac:dyDescent="0.25">
      <c r="A243"/>
      <c r="B243" s="1"/>
      <c r="C243" s="1"/>
      <c r="D243" s="177"/>
      <c r="E243" s="177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</row>
    <row r="244" spans="1:39" x14ac:dyDescent="0.25">
      <c r="A244"/>
      <c r="B244" s="1"/>
      <c r="C244" s="1"/>
      <c r="D244" s="177"/>
      <c r="E244" s="177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</row>
    <row r="245" spans="1:39" x14ac:dyDescent="0.25">
      <c r="A245"/>
      <c r="B245" s="1"/>
      <c r="C245" s="1"/>
      <c r="D245" s="177"/>
      <c r="E245" s="177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</row>
    <row r="246" spans="1:39" x14ac:dyDescent="0.25">
      <c r="A246"/>
      <c r="B246" s="1"/>
      <c r="C246" s="1"/>
      <c r="D246" s="177"/>
      <c r="E246" s="177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</row>
    <row r="247" spans="1:39" x14ac:dyDescent="0.25">
      <c r="A247"/>
      <c r="B247" s="1"/>
      <c r="C247" s="1"/>
      <c r="D247" s="177"/>
      <c r="E247" s="17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</row>
    <row r="248" spans="1:39" x14ac:dyDescent="0.25">
      <c r="A248"/>
      <c r="B248" s="1"/>
      <c r="C248" s="1"/>
      <c r="D248" s="177"/>
      <c r="E248" s="177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</row>
    <row r="249" spans="1:39" x14ac:dyDescent="0.25">
      <c r="A249"/>
      <c r="B249" s="1"/>
      <c r="C249" s="1"/>
      <c r="D249" s="177"/>
      <c r="E249" s="177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</row>
    <row r="250" spans="1:39" x14ac:dyDescent="0.25">
      <c r="A250"/>
      <c r="B250" s="1"/>
      <c r="C250" s="1"/>
      <c r="D250" s="177"/>
      <c r="E250" s="177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</row>
    <row r="251" spans="1:39" x14ac:dyDescent="0.25">
      <c r="A251"/>
      <c r="B251" s="1"/>
      <c r="C251" s="1"/>
      <c r="D251" s="177"/>
      <c r="E251" s="177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</row>
    <row r="252" spans="1:39" x14ac:dyDescent="0.25">
      <c r="A252"/>
      <c r="B252" s="1"/>
      <c r="C252" s="1"/>
      <c r="D252" s="177"/>
      <c r="E252" s="177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</row>
    <row r="253" spans="1:39" x14ac:dyDescent="0.25">
      <c r="A253"/>
      <c r="B253" s="1"/>
      <c r="C253" s="1"/>
      <c r="D253" s="177"/>
      <c r="E253" s="177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</row>
    <row r="254" spans="1:39" x14ac:dyDescent="0.25">
      <c r="A254"/>
      <c r="B254" s="1"/>
      <c r="C254" s="1"/>
      <c r="D254" s="177"/>
      <c r="E254" s="177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</row>
    <row r="255" spans="1:39" x14ac:dyDescent="0.25">
      <c r="A255"/>
      <c r="B255" s="1"/>
      <c r="C255" s="1"/>
      <c r="D255" s="177"/>
      <c r="E255" s="177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</row>
    <row r="256" spans="1:39" x14ac:dyDescent="0.25">
      <c r="A256"/>
      <c r="B256" s="1"/>
      <c r="C256" s="1"/>
      <c r="D256" s="177"/>
      <c r="E256" s="177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</row>
    <row r="257" spans="1:39" x14ac:dyDescent="0.25">
      <c r="A257"/>
      <c r="B257" s="1"/>
      <c r="C257" s="1"/>
      <c r="D257" s="177"/>
      <c r="E257" s="17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</row>
    <row r="258" spans="1:39" x14ac:dyDescent="0.25">
      <c r="A258"/>
      <c r="B258" s="1"/>
      <c r="C258" s="1"/>
      <c r="D258" s="177"/>
      <c r="E258" s="177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</row>
    <row r="259" spans="1:39" x14ac:dyDescent="0.25">
      <c r="A259"/>
      <c r="B259" s="1"/>
      <c r="C259" s="1"/>
      <c r="D259" s="177"/>
      <c r="E259" s="177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</row>
    <row r="260" spans="1:39" x14ac:dyDescent="0.25">
      <c r="A260"/>
      <c r="B260" s="1"/>
      <c r="C260" s="1"/>
      <c r="D260" s="177"/>
      <c r="E260" s="177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</row>
    <row r="261" spans="1:39" x14ac:dyDescent="0.25">
      <c r="A261"/>
      <c r="B261" s="1"/>
      <c r="C261" s="1"/>
      <c r="D261" s="177"/>
      <c r="E261" s="177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</row>
    <row r="262" spans="1:39" x14ac:dyDescent="0.25">
      <c r="A262"/>
      <c r="B262" s="1"/>
      <c r="C262" s="1"/>
      <c r="D262" s="177"/>
      <c r="E262" s="177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</row>
    <row r="263" spans="1:39" x14ac:dyDescent="0.25">
      <c r="A263"/>
      <c r="B263" s="1"/>
      <c r="C263" s="1"/>
      <c r="D263" s="177"/>
      <c r="E263" s="177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</row>
    <row r="264" spans="1:39" x14ac:dyDescent="0.25">
      <c r="A264"/>
      <c r="B264" s="1"/>
      <c r="C264" s="1"/>
      <c r="D264" s="177"/>
      <c r="E264" s="177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</row>
    <row r="265" spans="1:39" x14ac:dyDescent="0.25">
      <c r="A265"/>
      <c r="B265" s="1"/>
      <c r="C265" s="1"/>
      <c r="D265" s="177"/>
      <c r="E265" s="177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</row>
    <row r="266" spans="1:39" x14ac:dyDescent="0.25">
      <c r="A266"/>
      <c r="B266" s="1"/>
      <c r="C266" s="1"/>
      <c r="D266" s="177"/>
      <c r="E266" s="177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</row>
    <row r="267" spans="1:39" x14ac:dyDescent="0.25">
      <c r="A267"/>
      <c r="B267" s="1"/>
      <c r="C267" s="1"/>
      <c r="D267" s="177"/>
      <c r="E267" s="17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</row>
    <row r="268" spans="1:39" x14ac:dyDescent="0.25">
      <c r="A268"/>
      <c r="B268" s="1"/>
      <c r="C268" s="1"/>
      <c r="D268" s="177"/>
      <c r="E268" s="177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</row>
    <row r="269" spans="1:39" x14ac:dyDescent="0.25">
      <c r="A269"/>
      <c r="B269" s="1"/>
      <c r="C269" s="1"/>
      <c r="D269" s="177"/>
      <c r="E269" s="177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</row>
    <row r="270" spans="1:39" x14ac:dyDescent="0.25">
      <c r="A270"/>
      <c r="B270" s="1"/>
      <c r="C270" s="1"/>
      <c r="D270" s="177"/>
      <c r="E270" s="177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</row>
    <row r="271" spans="1:39" x14ac:dyDescent="0.25">
      <c r="A271"/>
      <c r="B271" s="1"/>
      <c r="C271" s="1"/>
      <c r="D271" s="177"/>
      <c r="E271" s="177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</row>
    <row r="272" spans="1:39" x14ac:dyDescent="0.25">
      <c r="A272"/>
      <c r="B272" s="1"/>
      <c r="C272" s="1"/>
      <c r="D272" s="177"/>
      <c r="E272" s="177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</row>
    <row r="273" spans="1:39" x14ac:dyDescent="0.25">
      <c r="A273"/>
      <c r="B273" s="1"/>
      <c r="C273" s="1"/>
      <c r="D273" s="177"/>
      <c r="E273" s="177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</row>
    <row r="274" spans="1:39" x14ac:dyDescent="0.25">
      <c r="A274"/>
      <c r="B274" s="1"/>
      <c r="C274" s="1"/>
      <c r="D274" s="177"/>
      <c r="E274" s="177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</row>
    <row r="275" spans="1:39" x14ac:dyDescent="0.25">
      <c r="A275"/>
      <c r="B275" s="1"/>
      <c r="C275" s="1"/>
      <c r="D275" s="177"/>
      <c r="E275" s="177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</row>
    <row r="276" spans="1:39" x14ac:dyDescent="0.25">
      <c r="A276"/>
      <c r="B276" s="1"/>
      <c r="C276" s="1"/>
      <c r="D276" s="177"/>
      <c r="E276" s="177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</row>
    <row r="277" spans="1:39" x14ac:dyDescent="0.25">
      <c r="A277"/>
      <c r="B277" s="1"/>
      <c r="C277" s="1"/>
      <c r="D277" s="177"/>
      <c r="E277" s="1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</row>
    <row r="278" spans="1:39" x14ac:dyDescent="0.25">
      <c r="A278"/>
      <c r="B278" s="1"/>
      <c r="C278" s="1"/>
      <c r="D278" s="177"/>
      <c r="E278" s="177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</row>
    <row r="279" spans="1:39" x14ac:dyDescent="0.25">
      <c r="A279"/>
      <c r="B279" s="1"/>
      <c r="C279" s="1"/>
      <c r="D279" s="177"/>
      <c r="E279" s="177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</row>
    <row r="280" spans="1:39" x14ac:dyDescent="0.25">
      <c r="A280"/>
      <c r="B280" s="1"/>
      <c r="C280" s="1"/>
      <c r="D280" s="177"/>
      <c r="E280" s="177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</row>
    <row r="281" spans="1:39" x14ac:dyDescent="0.25">
      <c r="A281"/>
      <c r="B281" s="1"/>
      <c r="C281" s="1"/>
      <c r="D281" s="177"/>
      <c r="E281" s="177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</row>
    <row r="282" spans="1:39" x14ac:dyDescent="0.25">
      <c r="A282"/>
      <c r="B282" s="1"/>
      <c r="C282" s="1"/>
      <c r="D282" s="177"/>
      <c r="E282" s="177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</row>
    <row r="283" spans="1:39" x14ac:dyDescent="0.25">
      <c r="A283"/>
      <c r="B283" s="1"/>
      <c r="C283" s="1"/>
      <c r="D283" s="177"/>
      <c r="E283" s="177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</row>
    <row r="284" spans="1:39" x14ac:dyDescent="0.25">
      <c r="A284"/>
      <c r="B284" s="1"/>
      <c r="C284" s="1"/>
      <c r="D284" s="177"/>
      <c r="E284" s="177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</row>
    <row r="285" spans="1:39" x14ac:dyDescent="0.25">
      <c r="A285"/>
      <c r="B285" s="1"/>
      <c r="C285" s="1"/>
      <c r="D285" s="177"/>
      <c r="E285" s="177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</row>
    <row r="286" spans="1:39" x14ac:dyDescent="0.25">
      <c r="A286"/>
      <c r="B286" s="1"/>
      <c r="C286" s="1"/>
      <c r="D286" s="177"/>
      <c r="E286" s="177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</row>
    <row r="287" spans="1:39" x14ac:dyDescent="0.25">
      <c r="A287"/>
      <c r="B287" s="1"/>
      <c r="C287" s="1"/>
      <c r="D287" s="177"/>
      <c r="E287" s="17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</row>
    <row r="288" spans="1:39" x14ac:dyDescent="0.25">
      <c r="A288"/>
      <c r="B288" s="1"/>
      <c r="C288" s="1"/>
      <c r="D288" s="177"/>
      <c r="E288" s="177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</row>
    <row r="289" spans="1:39" x14ac:dyDescent="0.25">
      <c r="A289"/>
      <c r="B289" s="1"/>
      <c r="C289" s="1"/>
      <c r="D289" s="177"/>
      <c r="E289" s="177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</row>
    <row r="290" spans="1:39" x14ac:dyDescent="0.25">
      <c r="A290"/>
      <c r="B290" s="1"/>
      <c r="C290" s="1"/>
      <c r="D290" s="177"/>
      <c r="E290" s="177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</row>
    <row r="291" spans="1:39" x14ac:dyDescent="0.25">
      <c r="A291"/>
      <c r="B291" s="1"/>
      <c r="C291" s="1"/>
      <c r="D291" s="177"/>
      <c r="E291" s="177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</row>
    <row r="292" spans="1:39" x14ac:dyDescent="0.25">
      <c r="A292"/>
      <c r="B292" s="1"/>
      <c r="C292" s="1"/>
      <c r="D292" s="177"/>
      <c r="E292" s="177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</row>
    <row r="293" spans="1:39" x14ac:dyDescent="0.25">
      <c r="A293"/>
      <c r="B293" s="1"/>
      <c r="C293" s="1"/>
      <c r="D293" s="177"/>
      <c r="E293" s="177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</row>
    <row r="294" spans="1:39" x14ac:dyDescent="0.25">
      <c r="A294"/>
      <c r="B294" s="1"/>
      <c r="C294" s="1"/>
      <c r="D294" s="177"/>
      <c r="E294" s="177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</row>
    <row r="295" spans="1:39" x14ac:dyDescent="0.25">
      <c r="A295"/>
      <c r="B295" s="1"/>
      <c r="C295" s="1"/>
      <c r="D295" s="177"/>
      <c r="E295" s="177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</row>
    <row r="296" spans="1:39" x14ac:dyDescent="0.25">
      <c r="A296"/>
      <c r="B296" s="1"/>
      <c r="C296" s="1"/>
      <c r="D296" s="177"/>
      <c r="E296" s="177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</row>
    <row r="297" spans="1:39" x14ac:dyDescent="0.25">
      <c r="A297"/>
      <c r="B297" s="1"/>
      <c r="C297" s="1"/>
      <c r="D297" s="177"/>
      <c r="E297" s="17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</row>
    <row r="298" spans="1:39" x14ac:dyDescent="0.25">
      <c r="A298"/>
      <c r="B298" s="1"/>
      <c r="C298" s="1"/>
      <c r="D298" s="177"/>
      <c r="E298" s="177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</row>
    <row r="299" spans="1:39" x14ac:dyDescent="0.25">
      <c r="A299"/>
      <c r="B299" s="1"/>
      <c r="C299" s="1"/>
      <c r="D299" s="177"/>
      <c r="E299" s="177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</row>
    <row r="300" spans="1:39" x14ac:dyDescent="0.25">
      <c r="A300"/>
      <c r="B300" s="1"/>
      <c r="C300" s="1"/>
      <c r="D300" s="177"/>
      <c r="E300" s="177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</row>
    <row r="301" spans="1:39" x14ac:dyDescent="0.25">
      <c r="A301"/>
      <c r="B301" s="1"/>
      <c r="C301" s="1"/>
      <c r="D301" s="177"/>
      <c r="E301" s="177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</row>
    <row r="302" spans="1:39" x14ac:dyDescent="0.25">
      <c r="A302"/>
      <c r="B302" s="1"/>
      <c r="C302" s="1"/>
      <c r="D302" s="177"/>
      <c r="E302" s="177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</row>
    <row r="303" spans="1:39" x14ac:dyDescent="0.25">
      <c r="A303"/>
      <c r="B303" s="1"/>
      <c r="C303" s="1"/>
      <c r="D303" s="177"/>
      <c r="E303" s="177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</row>
    <row r="304" spans="1:39" x14ac:dyDescent="0.25">
      <c r="A304"/>
      <c r="B304" s="1"/>
      <c r="C304" s="1"/>
      <c r="D304" s="177"/>
      <c r="E304" s="177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</row>
    <row r="305" spans="1:39" x14ac:dyDescent="0.25">
      <c r="A305"/>
      <c r="B305" s="1"/>
      <c r="C305" s="1"/>
      <c r="D305" s="177"/>
      <c r="E305" s="177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</row>
    <row r="306" spans="1:39" x14ac:dyDescent="0.25">
      <c r="A306"/>
      <c r="B306" s="1"/>
      <c r="C306" s="1"/>
      <c r="D306" s="177"/>
      <c r="E306" s="177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</row>
    <row r="307" spans="1:39" x14ac:dyDescent="0.25">
      <c r="A307"/>
      <c r="B307" s="1"/>
      <c r="C307" s="1"/>
      <c r="D307" s="177"/>
      <c r="E307" s="17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</row>
    <row r="308" spans="1:39" x14ac:dyDescent="0.25">
      <c r="A308"/>
      <c r="B308" s="1"/>
      <c r="C308" s="1"/>
      <c r="D308" s="177"/>
      <c r="E308" s="177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</row>
    <row r="309" spans="1:39" x14ac:dyDescent="0.25">
      <c r="A309"/>
      <c r="B309" s="1"/>
      <c r="C309" s="1"/>
      <c r="D309" s="177"/>
      <c r="E309" s="177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</row>
    <row r="310" spans="1:39" x14ac:dyDescent="0.25">
      <c r="A310"/>
      <c r="B310" s="1"/>
      <c r="C310" s="1"/>
      <c r="D310" s="177"/>
      <c r="E310" s="177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</row>
    <row r="311" spans="1:39" x14ac:dyDescent="0.25">
      <c r="A311"/>
      <c r="B311" s="1"/>
      <c r="C311" s="1"/>
      <c r="D311" s="177"/>
      <c r="E311" s="177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</row>
    <row r="312" spans="1:39" x14ac:dyDescent="0.25">
      <c r="A312"/>
      <c r="B312" s="1"/>
      <c r="C312" s="1"/>
      <c r="D312" s="177"/>
      <c r="E312" s="177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</row>
    <row r="313" spans="1:39" x14ac:dyDescent="0.25">
      <c r="A313"/>
      <c r="B313" s="1"/>
      <c r="C313" s="1"/>
      <c r="D313" s="177"/>
      <c r="E313" s="177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</row>
    <row r="314" spans="1:39" x14ac:dyDescent="0.25">
      <c r="A314"/>
      <c r="B314" s="1"/>
      <c r="C314" s="1"/>
      <c r="D314" s="177"/>
      <c r="E314" s="177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</row>
    <row r="315" spans="1:39" x14ac:dyDescent="0.25">
      <c r="A315"/>
      <c r="B315" s="1"/>
      <c r="C315" s="1"/>
      <c r="D315" s="177"/>
      <c r="E315" s="177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</row>
    <row r="316" spans="1:39" x14ac:dyDescent="0.25">
      <c r="A316"/>
      <c r="B316" s="1"/>
      <c r="C316" s="1"/>
      <c r="D316" s="177"/>
      <c r="E316" s="177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</row>
    <row r="317" spans="1:39" x14ac:dyDescent="0.25">
      <c r="A317"/>
      <c r="B317" s="1"/>
      <c r="C317" s="1"/>
      <c r="D317" s="177"/>
      <c r="E317" s="17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</row>
    <row r="318" spans="1:39" x14ac:dyDescent="0.25">
      <c r="A318"/>
      <c r="B318" s="1"/>
      <c r="C318" s="1"/>
      <c r="D318" s="177"/>
      <c r="E318" s="177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</row>
    <row r="319" spans="1:39" x14ac:dyDescent="0.25">
      <c r="A319"/>
      <c r="B319" s="1"/>
      <c r="C319" s="1"/>
      <c r="D319" s="177"/>
      <c r="E319" s="177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</row>
    <row r="320" spans="1:39" x14ac:dyDescent="0.25">
      <c r="A320"/>
      <c r="B320" s="1"/>
      <c r="C320" s="1"/>
      <c r="D320" s="177"/>
      <c r="E320" s="177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</row>
    <row r="321" spans="1:39" x14ac:dyDescent="0.25">
      <c r="A321"/>
      <c r="B321" s="1"/>
      <c r="C321" s="1"/>
      <c r="D321" s="177"/>
      <c r="E321" s="177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</row>
    <row r="322" spans="1:39" x14ac:dyDescent="0.25">
      <c r="A322"/>
      <c r="B322" s="1"/>
      <c r="C322" s="1"/>
      <c r="D322" s="177"/>
      <c r="E322" s="177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</row>
    <row r="323" spans="1:39" x14ac:dyDescent="0.25">
      <c r="A323"/>
      <c r="B323" s="1"/>
      <c r="C323" s="1"/>
      <c r="D323" s="177"/>
      <c r="E323" s="177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</row>
    <row r="324" spans="1:39" x14ac:dyDescent="0.25">
      <c r="A324"/>
      <c r="B324" s="1"/>
      <c r="C324" s="1"/>
      <c r="D324" s="177"/>
      <c r="E324" s="177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</row>
    <row r="325" spans="1:39" x14ac:dyDescent="0.25">
      <c r="A325"/>
      <c r="B325" s="1"/>
      <c r="C325" s="1"/>
      <c r="D325" s="177"/>
      <c r="E325" s="177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</row>
    <row r="326" spans="1:39" x14ac:dyDescent="0.25">
      <c r="A326"/>
      <c r="B326" s="1"/>
      <c r="C326" s="1"/>
      <c r="D326" s="177"/>
      <c r="E326" s="177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</row>
    <row r="327" spans="1:39" x14ac:dyDescent="0.25">
      <c r="A327"/>
      <c r="B327" s="1"/>
      <c r="C327" s="1"/>
      <c r="D327" s="177"/>
      <c r="E327" s="17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</row>
    <row r="328" spans="1:39" x14ac:dyDescent="0.25">
      <c r="A328"/>
      <c r="B328" s="1"/>
      <c r="C328" s="1"/>
      <c r="D328" s="177"/>
      <c r="E328" s="177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</row>
    <row r="329" spans="1:39" x14ac:dyDescent="0.25">
      <c r="A329"/>
      <c r="B329" s="1"/>
      <c r="C329" s="1"/>
      <c r="D329" s="177"/>
      <c r="E329" s="177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</row>
    <row r="330" spans="1:39" x14ac:dyDescent="0.25">
      <c r="A330"/>
      <c r="B330" s="1"/>
      <c r="C330" s="1"/>
      <c r="D330" s="177"/>
      <c r="E330" s="177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</row>
    <row r="331" spans="1:39" x14ac:dyDescent="0.25">
      <c r="A331"/>
      <c r="B331" s="1"/>
      <c r="C331" s="1"/>
      <c r="D331" s="177"/>
      <c r="E331" s="177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</row>
  </sheetData>
  <hyperlinks>
    <hyperlink ref="A8" r:id="rId1" display="SP@"/>
    <hyperlink ref="A9" r:id="rId2" display="SP@"/>
    <hyperlink ref="A10" r:id="rId3" display="SP@"/>
    <hyperlink ref="A12" r:id="rId4" display="SP@"/>
    <hyperlink ref="A11" r:id="rId5" display="SP@"/>
  </hyperlinks>
  <pageMargins left="0.7" right="0.7" top="0.75" bottom="0.75" header="0.3" footer="0.3"/>
  <pageSetup orientation="portrait" horizontalDpi="0" verticalDpi="0" r:id="rId6"/>
  <drawing r:id="rId7"/>
  <tableParts count="1">
    <tablePart r:id="rId8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D269"/>
  <sheetViews>
    <sheetView topLeftCell="A56" zoomScale="70" zoomScaleNormal="70" workbookViewId="0">
      <selection activeCell="D92" sqref="D92"/>
    </sheetView>
  </sheetViews>
  <sheetFormatPr defaultRowHeight="15" x14ac:dyDescent="0.25"/>
  <cols>
    <col min="1" max="1" width="11" customWidth="1"/>
    <col min="2" max="2" width="7.85546875" customWidth="1"/>
    <col min="3" max="3" width="10.28515625" customWidth="1"/>
    <col min="4" max="4" width="16" customWidth="1"/>
    <col min="5" max="5" width="12.85546875" style="333" customWidth="1"/>
    <col min="6" max="6" width="29.28515625" style="1" customWidth="1"/>
    <col min="7" max="7" width="7.140625" style="1" customWidth="1"/>
    <col min="8" max="8" width="9.85546875" style="1" customWidth="1"/>
    <col min="9" max="9" width="6.28515625" style="294" customWidth="1"/>
    <col min="10" max="10" width="6.7109375" style="1" customWidth="1"/>
    <col min="11" max="11" width="6.140625" style="292" customWidth="1"/>
    <col min="12" max="12" width="8.42578125" style="1" customWidth="1"/>
    <col min="13" max="13" width="7.85546875" style="109" customWidth="1"/>
    <col min="28" max="28" width="14" customWidth="1"/>
    <col min="30" max="30" width="13.85546875" customWidth="1"/>
  </cols>
  <sheetData>
    <row r="1" spans="1:30" s="167" customFormat="1" ht="46.5" customHeight="1" x14ac:dyDescent="0.25">
      <c r="A1" s="175"/>
      <c r="B1" s="169"/>
      <c r="C1" s="170" t="s">
        <v>134</v>
      </c>
      <c r="D1" s="170" t="s">
        <v>133</v>
      </c>
      <c r="E1" s="329" t="s">
        <v>123</v>
      </c>
      <c r="F1" s="170" t="s">
        <v>195</v>
      </c>
      <c r="G1" s="170" t="s">
        <v>121</v>
      </c>
      <c r="H1" s="170" t="s">
        <v>122</v>
      </c>
      <c r="I1" s="293" t="s">
        <v>120</v>
      </c>
      <c r="J1" s="168" t="s">
        <v>198</v>
      </c>
      <c r="K1" s="289" t="s">
        <v>124</v>
      </c>
      <c r="L1" s="171"/>
      <c r="M1" s="297" t="s">
        <v>211</v>
      </c>
      <c r="AB1"/>
      <c r="AC1" s="167" t="s">
        <v>120</v>
      </c>
      <c r="AD1" t="s">
        <v>215</v>
      </c>
    </row>
    <row r="2" spans="1:30" ht="18" customHeight="1" x14ac:dyDescent="0.25">
      <c r="A2" s="175"/>
      <c r="B2" s="363" t="s">
        <v>136</v>
      </c>
      <c r="C2" s="172">
        <v>1</v>
      </c>
      <c r="D2" s="172" t="s">
        <v>103</v>
      </c>
      <c r="E2" s="330">
        <v>2</v>
      </c>
      <c r="F2" s="173" t="s">
        <v>196</v>
      </c>
      <c r="G2" s="287">
        <v>7.87</v>
      </c>
      <c r="H2" s="287">
        <v>49.2</v>
      </c>
      <c r="I2" s="287">
        <v>4.8099999999999996</v>
      </c>
      <c r="J2" s="287">
        <f>81/25.4</f>
        <v>3.188976377952756</v>
      </c>
      <c r="K2" s="290">
        <v>1.55</v>
      </c>
      <c r="L2" s="288">
        <v>31.4</v>
      </c>
      <c r="M2" s="287">
        <f t="shared" ref="M2:M33" si="0">I2*J2</f>
        <v>15.338976377952756</v>
      </c>
      <c r="AB2" t="s">
        <v>219</v>
      </c>
      <c r="AC2">
        <v>1.5</v>
      </c>
      <c r="AD2">
        <f t="array" ref="AD2:AD9">FREQUENCY(I2:I87,AC2:AC9)</f>
        <v>2</v>
      </c>
    </row>
    <row r="3" spans="1:30" ht="17.25" customHeight="1" x14ac:dyDescent="0.25">
      <c r="A3" s="175"/>
      <c r="B3" s="364"/>
      <c r="C3" s="172">
        <v>2</v>
      </c>
      <c r="D3" s="172" t="s">
        <v>104</v>
      </c>
      <c r="E3" s="330">
        <v>2</v>
      </c>
      <c r="F3" s="173" t="s">
        <v>196</v>
      </c>
      <c r="G3" s="287">
        <v>7.87</v>
      </c>
      <c r="H3" s="287">
        <v>49.2</v>
      </c>
      <c r="I3" s="287">
        <v>4.8099999999999996</v>
      </c>
      <c r="J3" s="287">
        <f>81/25.4</f>
        <v>3.188976377952756</v>
      </c>
      <c r="K3" s="290">
        <v>1.55</v>
      </c>
      <c r="L3" s="288">
        <v>31.4</v>
      </c>
      <c r="M3" s="287">
        <f t="shared" si="0"/>
        <v>15.338976377952756</v>
      </c>
      <c r="AB3" t="s">
        <v>216</v>
      </c>
      <c r="AC3">
        <v>2</v>
      </c>
      <c r="AD3">
        <v>6</v>
      </c>
    </row>
    <row r="4" spans="1:30" ht="16.5" customHeight="1" x14ac:dyDescent="0.25">
      <c r="A4" s="175"/>
      <c r="B4" s="364"/>
      <c r="C4" s="172">
        <v>3</v>
      </c>
      <c r="D4" s="172" t="s">
        <v>105</v>
      </c>
      <c r="E4" s="330">
        <v>3</v>
      </c>
      <c r="F4" s="173" t="s">
        <v>196</v>
      </c>
      <c r="G4" s="287">
        <v>7.87</v>
      </c>
      <c r="H4" s="287">
        <v>49.2</v>
      </c>
      <c r="I4" s="287">
        <v>4.8099999999999996</v>
      </c>
      <c r="J4" s="287">
        <f>81/25.4</f>
        <v>3.188976377952756</v>
      </c>
      <c r="K4" s="290">
        <v>1.55</v>
      </c>
      <c r="L4" s="288">
        <v>31.4</v>
      </c>
      <c r="M4" s="287">
        <f t="shared" si="0"/>
        <v>15.338976377952756</v>
      </c>
      <c r="AB4" t="s">
        <v>217</v>
      </c>
      <c r="AC4">
        <v>2.5</v>
      </c>
      <c r="AD4">
        <v>17</v>
      </c>
    </row>
    <row r="5" spans="1:30" ht="15.75" x14ac:dyDescent="0.25">
      <c r="A5" s="175"/>
      <c r="B5" s="364"/>
      <c r="C5" s="172">
        <v>4</v>
      </c>
      <c r="D5" s="172" t="s">
        <v>106</v>
      </c>
      <c r="E5" s="330">
        <v>2</v>
      </c>
      <c r="F5" s="173" t="s">
        <v>196</v>
      </c>
      <c r="G5" s="287">
        <v>7.87</v>
      </c>
      <c r="H5" s="287">
        <v>49.2</v>
      </c>
      <c r="I5" s="287">
        <v>3.68</v>
      </c>
      <c r="J5" s="287">
        <f>126/25.4</f>
        <v>4.9606299212598426</v>
      </c>
      <c r="K5" s="290">
        <v>1.48</v>
      </c>
      <c r="L5" s="288">
        <v>31.4</v>
      </c>
      <c r="M5" s="287">
        <f t="shared" si="0"/>
        <v>18.255118110236221</v>
      </c>
      <c r="AB5" t="s">
        <v>218</v>
      </c>
      <c r="AC5">
        <v>3</v>
      </c>
      <c r="AD5">
        <v>46</v>
      </c>
    </row>
    <row r="6" spans="1:30" ht="15.75" x14ac:dyDescent="0.25">
      <c r="A6" s="175"/>
      <c r="B6" s="364"/>
      <c r="C6" s="172">
        <v>5</v>
      </c>
      <c r="D6" s="172" t="s">
        <v>107</v>
      </c>
      <c r="E6" s="330">
        <v>3</v>
      </c>
      <c r="F6" s="173" t="s">
        <v>196</v>
      </c>
      <c r="G6" s="287">
        <v>7.87</v>
      </c>
      <c r="H6" s="287">
        <v>49.2</v>
      </c>
      <c r="I6" s="287">
        <v>3.68</v>
      </c>
      <c r="J6" s="287">
        <f>126/25.4</f>
        <v>4.9606299212598426</v>
      </c>
      <c r="K6" s="290">
        <v>1.48</v>
      </c>
      <c r="L6" s="288">
        <v>31.4</v>
      </c>
      <c r="M6" s="287">
        <f t="shared" si="0"/>
        <v>18.255118110236221</v>
      </c>
      <c r="AB6" t="s">
        <v>220</v>
      </c>
      <c r="AC6">
        <v>3.5</v>
      </c>
      <c r="AD6">
        <v>7</v>
      </c>
    </row>
    <row r="7" spans="1:30" ht="15.75" x14ac:dyDescent="0.25">
      <c r="A7" s="175"/>
      <c r="B7" s="364"/>
      <c r="C7" s="172">
        <v>6</v>
      </c>
      <c r="D7" s="172" t="s">
        <v>108</v>
      </c>
      <c r="E7" s="330">
        <v>3</v>
      </c>
      <c r="F7" s="173" t="s">
        <v>196</v>
      </c>
      <c r="G7" s="287">
        <v>7.87</v>
      </c>
      <c r="H7" s="287">
        <v>49.2</v>
      </c>
      <c r="I7" s="287">
        <v>3.68</v>
      </c>
      <c r="J7" s="287">
        <f>126/25.4</f>
        <v>4.9606299212598426</v>
      </c>
      <c r="K7" s="290">
        <v>1.48</v>
      </c>
      <c r="L7" s="288">
        <v>31.4</v>
      </c>
      <c r="M7" s="287">
        <f t="shared" si="0"/>
        <v>18.255118110236221</v>
      </c>
      <c r="AB7" t="s">
        <v>221</v>
      </c>
      <c r="AC7">
        <v>4</v>
      </c>
      <c r="AD7">
        <v>3</v>
      </c>
    </row>
    <row r="8" spans="1:30" ht="15.75" x14ac:dyDescent="0.25">
      <c r="A8" s="175"/>
      <c r="B8" s="364"/>
      <c r="C8" s="172">
        <v>7</v>
      </c>
      <c r="D8" s="172" t="s">
        <v>109</v>
      </c>
      <c r="E8" s="330">
        <v>1</v>
      </c>
      <c r="F8" s="173" t="s">
        <v>196</v>
      </c>
      <c r="G8" s="287">
        <v>7.87</v>
      </c>
      <c r="H8" s="287">
        <v>49.2</v>
      </c>
      <c r="I8" s="287">
        <v>2.81</v>
      </c>
      <c r="J8" s="287">
        <f>139/25.4</f>
        <v>5.4724409448818898</v>
      </c>
      <c r="K8" s="290">
        <v>1.41</v>
      </c>
      <c r="L8" s="288">
        <v>31.4</v>
      </c>
      <c r="M8" s="287">
        <f t="shared" si="0"/>
        <v>15.377559055118111</v>
      </c>
      <c r="AB8" s="317" t="s">
        <v>224</v>
      </c>
      <c r="AC8">
        <v>5</v>
      </c>
      <c r="AD8">
        <v>5</v>
      </c>
    </row>
    <row r="9" spans="1:30" ht="15.75" x14ac:dyDescent="0.25">
      <c r="A9" s="175"/>
      <c r="B9" s="364"/>
      <c r="C9" s="172">
        <v>8</v>
      </c>
      <c r="D9" s="172" t="s">
        <v>110</v>
      </c>
      <c r="E9" s="330">
        <v>3</v>
      </c>
      <c r="F9" s="173" t="s">
        <v>196</v>
      </c>
      <c r="G9" s="287">
        <v>7.87</v>
      </c>
      <c r="H9" s="287">
        <v>49.2</v>
      </c>
      <c r="I9" s="287">
        <v>2.81</v>
      </c>
      <c r="J9" s="287">
        <f>139/25.4</f>
        <v>5.4724409448818898</v>
      </c>
      <c r="K9" s="290">
        <v>1.41</v>
      </c>
      <c r="L9" s="288">
        <v>31.4</v>
      </c>
      <c r="M9" s="287">
        <f t="shared" si="0"/>
        <v>15.377559055118111</v>
      </c>
      <c r="AD9">
        <v>0</v>
      </c>
    </row>
    <row r="10" spans="1:30" ht="15.75" x14ac:dyDescent="0.25">
      <c r="A10" s="175"/>
      <c r="B10" s="364"/>
      <c r="C10" s="172">
        <v>9</v>
      </c>
      <c r="D10" s="172" t="s">
        <v>111</v>
      </c>
      <c r="E10" s="330">
        <v>4</v>
      </c>
      <c r="F10" s="173" t="s">
        <v>196</v>
      </c>
      <c r="G10" s="287">
        <v>7.87</v>
      </c>
      <c r="H10" s="287">
        <v>49.2</v>
      </c>
      <c r="I10" s="287">
        <v>2.81</v>
      </c>
      <c r="J10" s="287">
        <f>139/25.4</f>
        <v>5.4724409448818898</v>
      </c>
      <c r="K10" s="290">
        <v>1.41</v>
      </c>
      <c r="L10" s="288">
        <v>31.4</v>
      </c>
      <c r="M10" s="287">
        <f t="shared" si="0"/>
        <v>15.377559055118111</v>
      </c>
    </row>
    <row r="11" spans="1:30" ht="15.75" x14ac:dyDescent="0.25">
      <c r="A11" s="175"/>
      <c r="B11" s="364"/>
      <c r="C11" s="172">
        <v>10</v>
      </c>
      <c r="D11" s="172" t="s">
        <v>112</v>
      </c>
      <c r="E11" s="330">
        <v>1</v>
      </c>
      <c r="F11" s="173" t="s">
        <v>196</v>
      </c>
      <c r="G11" s="287">
        <v>7.87</v>
      </c>
      <c r="H11" s="287">
        <v>49.2</v>
      </c>
      <c r="I11" s="287">
        <v>2.39</v>
      </c>
      <c r="J11" s="287">
        <f>163/25.4</f>
        <v>6.4173228346456694</v>
      </c>
      <c r="K11" s="290">
        <v>1.38</v>
      </c>
      <c r="L11" s="288">
        <v>31.4</v>
      </c>
      <c r="M11" s="287">
        <f t="shared" si="0"/>
        <v>15.337401574803151</v>
      </c>
    </row>
    <row r="12" spans="1:30" ht="15.75" x14ac:dyDescent="0.25">
      <c r="A12" s="175"/>
      <c r="B12" s="364"/>
      <c r="C12" s="172">
        <v>11</v>
      </c>
      <c r="D12" s="172" t="s">
        <v>113</v>
      </c>
      <c r="E12" s="330">
        <v>1</v>
      </c>
      <c r="F12" s="173" t="s">
        <v>196</v>
      </c>
      <c r="G12" s="287">
        <v>7.87</v>
      </c>
      <c r="H12" s="287">
        <v>49.2</v>
      </c>
      <c r="I12" s="287">
        <v>2.39</v>
      </c>
      <c r="J12" s="287">
        <f>163/25.4</f>
        <v>6.4173228346456694</v>
      </c>
      <c r="K12" s="290">
        <v>1.38</v>
      </c>
      <c r="L12" s="288">
        <v>31.4</v>
      </c>
      <c r="M12" s="287">
        <f t="shared" si="0"/>
        <v>15.337401574803151</v>
      </c>
    </row>
    <row r="13" spans="1:30" ht="15.75" x14ac:dyDescent="0.25">
      <c r="A13" s="175"/>
      <c r="B13" s="364"/>
      <c r="C13" s="172">
        <v>12</v>
      </c>
      <c r="D13" s="172" t="s">
        <v>114</v>
      </c>
      <c r="E13" s="330">
        <v>1</v>
      </c>
      <c r="F13" s="173" t="s">
        <v>196</v>
      </c>
      <c r="G13" s="287">
        <v>7.87</v>
      </c>
      <c r="H13" s="287">
        <v>49.2</v>
      </c>
      <c r="I13" s="287">
        <v>2.39</v>
      </c>
      <c r="J13" s="287">
        <f>163/25.4</f>
        <v>6.4173228346456694</v>
      </c>
      <c r="K13" s="290">
        <v>1.38</v>
      </c>
      <c r="L13" s="288">
        <v>31.4</v>
      </c>
      <c r="M13" s="287">
        <f t="shared" si="0"/>
        <v>15.337401574803151</v>
      </c>
    </row>
    <row r="14" spans="1:30" ht="15.75" x14ac:dyDescent="0.25">
      <c r="A14" s="175"/>
      <c r="B14" s="364"/>
      <c r="C14" s="172">
        <v>13</v>
      </c>
      <c r="D14" s="172" t="s">
        <v>115</v>
      </c>
      <c r="E14" s="330">
        <v>5</v>
      </c>
      <c r="F14" s="173" t="s">
        <v>196</v>
      </c>
      <c r="G14" s="287">
        <v>7.87</v>
      </c>
      <c r="H14" s="287">
        <v>49.2</v>
      </c>
      <c r="I14" s="287">
        <v>1.86</v>
      </c>
      <c r="J14" s="287">
        <f>210/25.4</f>
        <v>8.2677165354330722</v>
      </c>
      <c r="K14" s="290">
        <v>1.34</v>
      </c>
      <c r="L14" s="288">
        <v>31.4</v>
      </c>
      <c r="M14" s="287">
        <f t="shared" si="0"/>
        <v>15.377952755905515</v>
      </c>
    </row>
    <row r="15" spans="1:30" ht="15.75" x14ac:dyDescent="0.25">
      <c r="A15" s="175"/>
      <c r="B15" s="364"/>
      <c r="C15" s="172">
        <v>14</v>
      </c>
      <c r="D15" s="172" t="s">
        <v>116</v>
      </c>
      <c r="E15" s="330">
        <v>5</v>
      </c>
      <c r="F15" s="173" t="s">
        <v>196</v>
      </c>
      <c r="G15" s="287">
        <v>7.87</v>
      </c>
      <c r="H15" s="287">
        <v>49.2</v>
      </c>
      <c r="I15" s="287">
        <v>1.86</v>
      </c>
      <c r="J15" s="287">
        <f>210/25.4</f>
        <v>8.2677165354330722</v>
      </c>
      <c r="K15" s="290">
        <v>1.34</v>
      </c>
      <c r="L15" s="288">
        <v>31.4</v>
      </c>
      <c r="M15" s="287">
        <f t="shared" si="0"/>
        <v>15.377952755905515</v>
      </c>
    </row>
    <row r="16" spans="1:30" ht="15.75" x14ac:dyDescent="0.25">
      <c r="A16" s="175"/>
      <c r="B16" s="364"/>
      <c r="C16" s="172">
        <v>15</v>
      </c>
      <c r="D16" s="172" t="s">
        <v>117</v>
      </c>
      <c r="E16" s="330">
        <v>3</v>
      </c>
      <c r="F16" s="173" t="s">
        <v>196</v>
      </c>
      <c r="G16" s="287">
        <v>7.87</v>
      </c>
      <c r="H16" s="287">
        <v>49.2</v>
      </c>
      <c r="I16" s="287">
        <v>1.86</v>
      </c>
      <c r="J16" s="287">
        <f>210/25.4</f>
        <v>8.2677165354330722</v>
      </c>
      <c r="K16" s="290">
        <v>1.34</v>
      </c>
      <c r="L16" s="288">
        <v>31.4</v>
      </c>
      <c r="M16" s="287">
        <f t="shared" si="0"/>
        <v>15.377952755905515</v>
      </c>
    </row>
    <row r="17" spans="1:30" ht="15.75" x14ac:dyDescent="0.25">
      <c r="A17" s="175"/>
      <c r="B17" s="364"/>
      <c r="C17" s="172">
        <v>16</v>
      </c>
      <c r="D17" s="172" t="s">
        <v>118</v>
      </c>
      <c r="E17" s="330">
        <v>5</v>
      </c>
      <c r="F17" s="173" t="s">
        <v>196</v>
      </c>
      <c r="G17" s="287">
        <v>7.87</v>
      </c>
      <c r="H17" s="287">
        <v>49.2</v>
      </c>
      <c r="I17" s="287">
        <v>1.1399999999999999</v>
      </c>
      <c r="J17" s="287">
        <f>307/25.4</f>
        <v>12.086614173228346</v>
      </c>
      <c r="K17" s="290">
        <v>1.3</v>
      </c>
      <c r="L17" s="288">
        <v>31.4</v>
      </c>
      <c r="M17" s="287">
        <f t="shared" si="0"/>
        <v>13.778740157480314</v>
      </c>
    </row>
    <row r="18" spans="1:30" ht="18" customHeight="1" x14ac:dyDescent="0.25">
      <c r="A18" s="175"/>
      <c r="B18" s="364"/>
      <c r="C18" s="172">
        <v>17</v>
      </c>
      <c r="D18" s="172" t="s">
        <v>119</v>
      </c>
      <c r="E18" s="330">
        <v>3</v>
      </c>
      <c r="F18" s="173" t="s">
        <v>196</v>
      </c>
      <c r="G18" s="287">
        <v>7.87</v>
      </c>
      <c r="H18" s="287">
        <v>49.2</v>
      </c>
      <c r="I18" s="287">
        <v>1.1399999999999999</v>
      </c>
      <c r="J18" s="287">
        <f>307/25.4</f>
        <v>12.086614173228346</v>
      </c>
      <c r="K18" s="290">
        <v>1.3</v>
      </c>
      <c r="L18" s="288">
        <v>31.4</v>
      </c>
      <c r="M18" s="287">
        <f t="shared" si="0"/>
        <v>13.778740157480314</v>
      </c>
    </row>
    <row r="19" spans="1:30" ht="19.5" customHeight="1" x14ac:dyDescent="0.25">
      <c r="A19" s="175"/>
      <c r="B19" s="365" t="s">
        <v>137</v>
      </c>
      <c r="C19" s="348">
        <v>18</v>
      </c>
      <c r="D19" s="348" t="s">
        <v>55</v>
      </c>
      <c r="E19" s="349">
        <v>9</v>
      </c>
      <c r="F19" s="350" t="s">
        <v>197</v>
      </c>
      <c r="G19" s="351">
        <v>22.5</v>
      </c>
      <c r="H19" s="351">
        <v>194.25</v>
      </c>
      <c r="I19" s="351">
        <v>2.2799999999999998</v>
      </c>
      <c r="J19" s="351">
        <v>26.25</v>
      </c>
      <c r="K19" s="352">
        <v>0.69</v>
      </c>
      <c r="L19" s="351">
        <v>24.82</v>
      </c>
      <c r="M19" s="351">
        <f t="shared" si="0"/>
        <v>59.849999999999994</v>
      </c>
    </row>
    <row r="20" spans="1:30" ht="15.75" x14ac:dyDescent="0.25">
      <c r="A20" s="175"/>
      <c r="B20" s="365"/>
      <c r="C20" s="348">
        <v>19</v>
      </c>
      <c r="D20" s="348" t="s">
        <v>56</v>
      </c>
      <c r="E20" s="349">
        <v>7</v>
      </c>
      <c r="F20" s="350" t="s">
        <v>197</v>
      </c>
      <c r="G20" s="351">
        <v>22.5</v>
      </c>
      <c r="H20" s="351">
        <v>195</v>
      </c>
      <c r="I20" s="351">
        <v>2.2799999999999998</v>
      </c>
      <c r="J20" s="351">
        <v>26.25</v>
      </c>
      <c r="K20" s="352">
        <v>0.69</v>
      </c>
      <c r="L20" s="351">
        <v>32.4</v>
      </c>
      <c r="M20" s="351">
        <f t="shared" si="0"/>
        <v>59.849999999999994</v>
      </c>
    </row>
    <row r="21" spans="1:30" ht="15.75" x14ac:dyDescent="0.25">
      <c r="A21" s="175"/>
      <c r="B21" s="365"/>
      <c r="C21" s="348">
        <v>20</v>
      </c>
      <c r="D21" s="348" t="s">
        <v>69</v>
      </c>
      <c r="E21" s="349">
        <v>7</v>
      </c>
      <c r="F21" s="350" t="s">
        <v>197</v>
      </c>
      <c r="G21" s="351">
        <v>9</v>
      </c>
      <c r="H21" s="351">
        <v>78.125</v>
      </c>
      <c r="I21" s="351">
        <v>2.2799999999999998</v>
      </c>
      <c r="J21" s="351">
        <v>10.5</v>
      </c>
      <c r="K21" s="352">
        <v>0.85</v>
      </c>
      <c r="L21" s="351">
        <v>24.82</v>
      </c>
      <c r="M21" s="351">
        <f t="shared" si="0"/>
        <v>23.939999999999998</v>
      </c>
    </row>
    <row r="22" spans="1:30" ht="15.75" x14ac:dyDescent="0.25">
      <c r="A22" s="175"/>
      <c r="B22" s="365"/>
      <c r="C22" s="348">
        <v>21</v>
      </c>
      <c r="D22" s="348" t="s">
        <v>70</v>
      </c>
      <c r="E22" s="349">
        <v>6</v>
      </c>
      <c r="F22" s="350" t="s">
        <v>197</v>
      </c>
      <c r="G22" s="351">
        <v>9</v>
      </c>
      <c r="H22" s="351">
        <v>78.125</v>
      </c>
      <c r="I22" s="351">
        <v>2.2799999999999998</v>
      </c>
      <c r="J22" s="351">
        <v>10.5</v>
      </c>
      <c r="K22" s="352">
        <v>0.85</v>
      </c>
      <c r="L22" s="351">
        <v>24.82</v>
      </c>
      <c r="M22" s="351">
        <f t="shared" si="0"/>
        <v>23.939999999999998</v>
      </c>
    </row>
    <row r="23" spans="1:30" ht="15.75" x14ac:dyDescent="0.25">
      <c r="A23" s="175"/>
      <c r="B23" s="365"/>
      <c r="C23" s="348">
        <v>22</v>
      </c>
      <c r="D23" s="348" t="s">
        <v>71</v>
      </c>
      <c r="E23" s="349">
        <v>8</v>
      </c>
      <c r="F23" s="350" t="s">
        <v>197</v>
      </c>
      <c r="G23" s="351">
        <v>9</v>
      </c>
      <c r="H23" s="351">
        <v>78.125</v>
      </c>
      <c r="I23" s="351">
        <v>2.2799999999999998</v>
      </c>
      <c r="J23" s="351">
        <v>10.5</v>
      </c>
      <c r="K23" s="352">
        <v>0.55000000000000004</v>
      </c>
      <c r="L23" s="351">
        <v>33.78</v>
      </c>
      <c r="M23" s="351">
        <f t="shared" si="0"/>
        <v>23.939999999999998</v>
      </c>
      <c r="AC23" t="s">
        <v>198</v>
      </c>
      <c r="AD23" t="s">
        <v>215</v>
      </c>
    </row>
    <row r="24" spans="1:30" ht="15.75" x14ac:dyDescent="0.25">
      <c r="A24" s="175"/>
      <c r="B24" s="365"/>
      <c r="C24" s="348">
        <v>23</v>
      </c>
      <c r="D24" s="348" t="s">
        <v>72</v>
      </c>
      <c r="E24" s="349">
        <v>7</v>
      </c>
      <c r="F24" s="350" t="s">
        <v>197</v>
      </c>
      <c r="G24" s="351">
        <v>9</v>
      </c>
      <c r="H24" s="351">
        <f>78+3/16</f>
        <v>78.1875</v>
      </c>
      <c r="I24" s="351">
        <v>2.2799999999999998</v>
      </c>
      <c r="J24" s="351">
        <v>10.5</v>
      </c>
      <c r="K24" s="352">
        <v>0.55000000000000004</v>
      </c>
      <c r="L24" s="351">
        <v>32.4</v>
      </c>
      <c r="M24" s="351">
        <f t="shared" si="0"/>
        <v>23.939999999999998</v>
      </c>
      <c r="AB24" t="s">
        <v>222</v>
      </c>
      <c r="AC24">
        <v>5</v>
      </c>
      <c r="AD24">
        <f t="array" ref="AD24:AD35">FREQUENCY(J2:J88,AC24:AC35)</f>
        <v>6</v>
      </c>
    </row>
    <row r="25" spans="1:30" ht="15.75" x14ac:dyDescent="0.25">
      <c r="A25" s="175"/>
      <c r="B25" s="365"/>
      <c r="C25" s="348">
        <v>24</v>
      </c>
      <c r="D25" s="348" t="s">
        <v>73</v>
      </c>
      <c r="E25" s="349">
        <v>4</v>
      </c>
      <c r="F25" s="350" t="s">
        <v>197</v>
      </c>
      <c r="G25" s="351">
        <v>9</v>
      </c>
      <c r="H25" s="351">
        <v>78.125</v>
      </c>
      <c r="I25" s="351">
        <v>2.2799999999999998</v>
      </c>
      <c r="J25" s="351">
        <v>10.5</v>
      </c>
      <c r="K25" s="352">
        <v>0.55000000000000004</v>
      </c>
      <c r="L25" s="351">
        <v>18.600000000000001</v>
      </c>
      <c r="M25" s="351">
        <f t="shared" si="0"/>
        <v>23.939999999999998</v>
      </c>
      <c r="AB25" s="317" t="s">
        <v>223</v>
      </c>
      <c r="AC25">
        <v>10</v>
      </c>
      <c r="AD25">
        <v>11</v>
      </c>
    </row>
    <row r="26" spans="1:30" ht="15.75" x14ac:dyDescent="0.25">
      <c r="A26" s="175"/>
      <c r="B26" s="365"/>
      <c r="C26" s="348">
        <v>25</v>
      </c>
      <c r="D26" s="348" t="s">
        <v>74</v>
      </c>
      <c r="E26" s="349">
        <v>4</v>
      </c>
      <c r="F26" s="350" t="s">
        <v>197</v>
      </c>
      <c r="G26" s="351">
        <v>9</v>
      </c>
      <c r="H26" s="351">
        <v>78</v>
      </c>
      <c r="I26" s="351">
        <v>2.2799999999999998</v>
      </c>
      <c r="J26" s="351">
        <v>10.5</v>
      </c>
      <c r="K26" s="352">
        <v>0.55000000000000004</v>
      </c>
      <c r="L26" s="351">
        <v>19.3</v>
      </c>
      <c r="M26" s="351">
        <f t="shared" si="0"/>
        <v>23.939999999999998</v>
      </c>
      <c r="AB26" s="317" t="s">
        <v>225</v>
      </c>
      <c r="AC26">
        <v>15</v>
      </c>
      <c r="AD26">
        <v>32</v>
      </c>
    </row>
    <row r="27" spans="1:30" ht="19.5" customHeight="1" x14ac:dyDescent="0.25">
      <c r="A27" s="175"/>
      <c r="B27" s="366" t="s">
        <v>138</v>
      </c>
      <c r="C27" s="173">
        <v>26</v>
      </c>
      <c r="D27" s="173" t="s">
        <v>125</v>
      </c>
      <c r="E27" s="330">
        <v>11</v>
      </c>
      <c r="F27" s="173" t="s">
        <v>197</v>
      </c>
      <c r="G27" s="173">
        <v>12</v>
      </c>
      <c r="H27" s="173">
        <v>55</v>
      </c>
      <c r="I27" s="173">
        <v>3.01</v>
      </c>
      <c r="J27" s="173">
        <f>232/25.4</f>
        <v>9.1338582677165352</v>
      </c>
      <c r="K27" s="173">
        <v>1.2</v>
      </c>
      <c r="L27" s="173">
        <v>66.099999999999994</v>
      </c>
      <c r="M27" s="287">
        <f t="shared" si="0"/>
        <v>27.492913385826768</v>
      </c>
      <c r="AB27" s="318" t="s">
        <v>226</v>
      </c>
      <c r="AC27">
        <v>20</v>
      </c>
      <c r="AD27">
        <v>5</v>
      </c>
    </row>
    <row r="28" spans="1:30" ht="15.75" x14ac:dyDescent="0.25">
      <c r="A28" s="175"/>
      <c r="B28" s="366"/>
      <c r="C28" s="173">
        <v>27</v>
      </c>
      <c r="D28" s="173" t="s">
        <v>126</v>
      </c>
      <c r="E28" s="330">
        <v>10</v>
      </c>
      <c r="F28" s="173" t="s">
        <v>197</v>
      </c>
      <c r="G28" s="173">
        <v>12</v>
      </c>
      <c r="H28" s="173">
        <v>126.5</v>
      </c>
      <c r="I28" s="173">
        <v>2.98</v>
      </c>
      <c r="J28" s="173">
        <f>530/25.4</f>
        <v>20.866141732283467</v>
      </c>
      <c r="K28" s="173">
        <v>1.25</v>
      </c>
      <c r="L28" s="173">
        <v>66.099999999999994</v>
      </c>
      <c r="M28" s="287">
        <f t="shared" si="0"/>
        <v>62.181102362204733</v>
      </c>
      <c r="AB28" s="318" t="s">
        <v>228</v>
      </c>
      <c r="AC28">
        <v>25</v>
      </c>
      <c r="AD28">
        <v>2</v>
      </c>
    </row>
    <row r="29" spans="1:30" ht="15.75" x14ac:dyDescent="0.25">
      <c r="A29" s="175"/>
      <c r="B29" s="366"/>
      <c r="C29" s="173">
        <v>28</v>
      </c>
      <c r="D29" s="173" t="s">
        <v>127</v>
      </c>
      <c r="E29" s="330">
        <v>10</v>
      </c>
      <c r="F29" s="173" t="s">
        <v>197</v>
      </c>
      <c r="G29" s="173">
        <v>12</v>
      </c>
      <c r="H29" s="173">
        <v>160</v>
      </c>
      <c r="I29" s="173">
        <v>2.98</v>
      </c>
      <c r="J29" s="173">
        <f>681/25.4</f>
        <v>26.811023622047244</v>
      </c>
      <c r="K29" s="173">
        <v>1.24</v>
      </c>
      <c r="L29" s="173">
        <v>65</v>
      </c>
      <c r="M29" s="287">
        <f t="shared" si="0"/>
        <v>79.896850393700788</v>
      </c>
      <c r="AB29" s="318" t="s">
        <v>227</v>
      </c>
      <c r="AC29">
        <v>30</v>
      </c>
      <c r="AD29">
        <v>8</v>
      </c>
    </row>
    <row r="30" spans="1:30" ht="15.75" x14ac:dyDescent="0.25">
      <c r="A30" s="175"/>
      <c r="B30" s="366"/>
      <c r="C30" s="173">
        <v>29</v>
      </c>
      <c r="D30" s="173" t="s">
        <v>128</v>
      </c>
      <c r="E30" s="330">
        <v>10</v>
      </c>
      <c r="F30" s="173" t="s">
        <v>197</v>
      </c>
      <c r="G30" s="173">
        <v>12</v>
      </c>
      <c r="H30" s="173">
        <v>194</v>
      </c>
      <c r="I30" s="173">
        <v>3</v>
      </c>
      <c r="J30" s="173">
        <f>822/25.4</f>
        <v>32.362204724409452</v>
      </c>
      <c r="K30" s="173">
        <v>1.3</v>
      </c>
      <c r="L30" s="173">
        <v>74.8</v>
      </c>
      <c r="M30" s="287">
        <f t="shared" si="0"/>
        <v>97.086614173228355</v>
      </c>
      <c r="AB30" s="318" t="s">
        <v>229</v>
      </c>
      <c r="AC30">
        <v>35</v>
      </c>
      <c r="AD30">
        <v>2</v>
      </c>
    </row>
    <row r="31" spans="1:30" ht="15.75" x14ac:dyDescent="0.25">
      <c r="A31" s="175"/>
      <c r="B31" s="366"/>
      <c r="C31" s="173">
        <v>30</v>
      </c>
      <c r="D31" s="173" t="s">
        <v>129</v>
      </c>
      <c r="E31" s="330">
        <v>11</v>
      </c>
      <c r="F31" s="173" t="s">
        <v>197</v>
      </c>
      <c r="G31" s="173">
        <v>8</v>
      </c>
      <c r="H31" s="173">
        <v>55</v>
      </c>
      <c r="I31" s="173">
        <v>2.99</v>
      </c>
      <c r="J31" s="173">
        <f>233/25.4</f>
        <v>9.1732283464566926</v>
      </c>
      <c r="K31" s="173">
        <v>1.26</v>
      </c>
      <c r="L31" s="173">
        <v>68.599999999999994</v>
      </c>
      <c r="M31" s="287">
        <f t="shared" si="0"/>
        <v>27.427952755905512</v>
      </c>
      <c r="AB31" s="318" t="s">
        <v>230</v>
      </c>
      <c r="AC31">
        <v>40</v>
      </c>
      <c r="AD31">
        <v>7</v>
      </c>
    </row>
    <row r="32" spans="1:30" ht="15.75" x14ac:dyDescent="0.25">
      <c r="A32" s="175"/>
      <c r="B32" s="366"/>
      <c r="C32" s="173">
        <v>31</v>
      </c>
      <c r="D32" s="173" t="s">
        <v>130</v>
      </c>
      <c r="E32" s="330">
        <v>10</v>
      </c>
      <c r="F32" s="173" t="s">
        <v>197</v>
      </c>
      <c r="G32" s="173">
        <v>16</v>
      </c>
      <c r="H32" s="173">
        <v>126.5</v>
      </c>
      <c r="I32" s="173">
        <v>2.99</v>
      </c>
      <c r="J32" s="173">
        <f>529/25.4</f>
        <v>20.826771653543307</v>
      </c>
      <c r="K32" s="173">
        <v>1.2</v>
      </c>
      <c r="L32" s="173">
        <v>64.8</v>
      </c>
      <c r="M32" s="287">
        <f t="shared" si="0"/>
        <v>62.272047244094495</v>
      </c>
      <c r="AB32" s="318" t="s">
        <v>231</v>
      </c>
      <c r="AC32">
        <v>45</v>
      </c>
      <c r="AD32">
        <v>0</v>
      </c>
    </row>
    <row r="33" spans="1:30" ht="15.75" x14ac:dyDescent="0.25">
      <c r="A33" s="175"/>
      <c r="B33" s="366"/>
      <c r="C33" s="173">
        <v>32</v>
      </c>
      <c r="D33" s="173" t="s">
        <v>131</v>
      </c>
      <c r="E33" s="330">
        <v>14</v>
      </c>
      <c r="F33" s="173" t="s">
        <v>197</v>
      </c>
      <c r="G33" s="173">
        <v>20</v>
      </c>
      <c r="H33" s="173">
        <v>160</v>
      </c>
      <c r="I33" s="173">
        <v>2.97</v>
      </c>
      <c r="J33" s="173">
        <f>684/25.4</f>
        <v>26.929133858267718</v>
      </c>
      <c r="K33" s="173">
        <v>1.3</v>
      </c>
      <c r="L33" s="173">
        <v>68.099999999999994</v>
      </c>
      <c r="M33" s="287">
        <f t="shared" si="0"/>
        <v>79.979527559055128</v>
      </c>
      <c r="AB33" s="318" t="s">
        <v>232</v>
      </c>
      <c r="AC33">
        <v>50</v>
      </c>
      <c r="AD33">
        <v>0</v>
      </c>
    </row>
    <row r="34" spans="1:30" ht="15.75" x14ac:dyDescent="0.25">
      <c r="A34" s="175"/>
      <c r="B34" s="367"/>
      <c r="C34" s="173">
        <v>33</v>
      </c>
      <c r="D34" s="173" t="s">
        <v>132</v>
      </c>
      <c r="E34" s="330">
        <v>12</v>
      </c>
      <c r="F34" s="173" t="s">
        <v>197</v>
      </c>
      <c r="G34" s="173">
        <v>24</v>
      </c>
      <c r="H34" s="173">
        <v>194</v>
      </c>
      <c r="I34" s="173">
        <v>3</v>
      </c>
      <c r="J34" s="173">
        <f>822/25.4</f>
        <v>32.362204724409452</v>
      </c>
      <c r="K34" s="173">
        <v>1.3</v>
      </c>
      <c r="L34" s="173">
        <v>72.900000000000006</v>
      </c>
      <c r="M34" s="287">
        <f t="shared" ref="M34:M65" si="1">I34*J34</f>
        <v>97.086614173228355</v>
      </c>
      <c r="AB34" s="318" t="s">
        <v>233</v>
      </c>
      <c r="AC34">
        <v>55</v>
      </c>
      <c r="AD34">
        <v>0</v>
      </c>
    </row>
    <row r="35" spans="1:30" ht="15.75" x14ac:dyDescent="0.25">
      <c r="A35" s="175"/>
      <c r="B35" s="369" t="s">
        <v>199</v>
      </c>
      <c r="C35" s="348">
        <v>34</v>
      </c>
      <c r="D35" s="348" t="s">
        <v>171</v>
      </c>
      <c r="E35" s="349">
        <v>9</v>
      </c>
      <c r="F35" s="350" t="s">
        <v>197</v>
      </c>
      <c r="G35" s="351">
        <v>22.56</v>
      </c>
      <c r="H35" s="351">
        <v>195</v>
      </c>
      <c r="I35" s="351">
        <v>2.2799999999999998</v>
      </c>
      <c r="J35" s="351">
        <f>26+3/8</f>
        <v>26.375</v>
      </c>
      <c r="K35" s="352">
        <v>0.79</v>
      </c>
      <c r="L35" s="351">
        <v>22.76</v>
      </c>
      <c r="M35" s="351">
        <f t="shared" si="1"/>
        <v>60.134999999999998</v>
      </c>
      <c r="AB35" s="318" t="s">
        <v>234</v>
      </c>
      <c r="AC35">
        <v>60</v>
      </c>
      <c r="AD35">
        <v>9</v>
      </c>
    </row>
    <row r="36" spans="1:30" ht="18.75" x14ac:dyDescent="0.3">
      <c r="A36" s="174"/>
      <c r="B36" s="370"/>
      <c r="C36" s="348">
        <v>35</v>
      </c>
      <c r="D36" s="348" t="s">
        <v>172</v>
      </c>
      <c r="E36" s="349">
        <v>13</v>
      </c>
      <c r="F36" s="350" t="s">
        <v>197</v>
      </c>
      <c r="G36" s="351">
        <v>22.56</v>
      </c>
      <c r="H36" s="351">
        <v>195</v>
      </c>
      <c r="I36" s="351">
        <v>2.2799999999999998</v>
      </c>
      <c r="J36" s="351">
        <f>26+7/16</f>
        <v>26.4375</v>
      </c>
      <c r="K36" s="352">
        <v>0.79</v>
      </c>
      <c r="L36" s="351">
        <v>31.03</v>
      </c>
      <c r="M36" s="351">
        <f t="shared" si="1"/>
        <v>60.277499999999996</v>
      </c>
    </row>
    <row r="37" spans="1:30" ht="15.75" x14ac:dyDescent="0.25">
      <c r="B37" s="370"/>
      <c r="C37" s="348">
        <v>36</v>
      </c>
      <c r="D37" s="348" t="s">
        <v>177</v>
      </c>
      <c r="E37" s="349">
        <v>6</v>
      </c>
      <c r="F37" s="350" t="s">
        <v>197</v>
      </c>
      <c r="G37" s="351">
        <f>9+1/16</f>
        <v>9.0625</v>
      </c>
      <c r="H37" s="351">
        <f>77+7/8</f>
        <v>77.875</v>
      </c>
      <c r="I37" s="351">
        <v>2.2799999999999998</v>
      </c>
      <c r="J37" s="351">
        <f>10+3/4</f>
        <v>10.75</v>
      </c>
      <c r="K37" s="352">
        <v>0.63</v>
      </c>
      <c r="L37" s="351">
        <v>30.34</v>
      </c>
      <c r="M37" s="351">
        <f t="shared" si="1"/>
        <v>24.509999999999998</v>
      </c>
    </row>
    <row r="38" spans="1:30" ht="15.75" x14ac:dyDescent="0.25">
      <c r="B38" s="370"/>
      <c r="C38" s="348">
        <v>37</v>
      </c>
      <c r="D38" s="348" t="s">
        <v>178</v>
      </c>
      <c r="E38" s="349">
        <v>7</v>
      </c>
      <c r="F38" s="350" t="s">
        <v>197</v>
      </c>
      <c r="G38" s="351">
        <v>9</v>
      </c>
      <c r="H38" s="351">
        <f>78+1/16</f>
        <v>78.0625</v>
      </c>
      <c r="I38" s="351">
        <v>2.2799999999999998</v>
      </c>
      <c r="J38" s="351">
        <f>10+3/4</f>
        <v>10.75</v>
      </c>
      <c r="K38" s="352">
        <v>0.63</v>
      </c>
      <c r="L38" s="351">
        <v>31.03</v>
      </c>
      <c r="M38" s="351">
        <f t="shared" si="1"/>
        <v>24.509999999999998</v>
      </c>
    </row>
    <row r="39" spans="1:30" ht="15.75" x14ac:dyDescent="0.25">
      <c r="B39" s="370"/>
      <c r="C39" s="348">
        <v>38</v>
      </c>
      <c r="D39" s="348" t="s">
        <v>179</v>
      </c>
      <c r="E39" s="349">
        <v>7</v>
      </c>
      <c r="F39" s="350" t="s">
        <v>197</v>
      </c>
      <c r="G39" s="351">
        <v>9.1</v>
      </c>
      <c r="H39" s="351">
        <f>77+15/16</f>
        <v>77.9375</v>
      </c>
      <c r="I39" s="351">
        <v>2.2799999999999998</v>
      </c>
      <c r="J39" s="351">
        <f>10+11/16</f>
        <v>10.6875</v>
      </c>
      <c r="K39" s="352">
        <v>0.63</v>
      </c>
      <c r="L39" s="351">
        <v>31.03</v>
      </c>
      <c r="M39" s="351">
        <f t="shared" si="1"/>
        <v>24.367499999999996</v>
      </c>
    </row>
    <row r="40" spans="1:30" ht="15.75" x14ac:dyDescent="0.25">
      <c r="B40" s="370"/>
      <c r="C40" s="348">
        <v>39</v>
      </c>
      <c r="D40" s="348" t="s">
        <v>180</v>
      </c>
      <c r="E40" s="349">
        <v>7</v>
      </c>
      <c r="F40" s="350" t="s">
        <v>197</v>
      </c>
      <c r="G40" s="351">
        <v>9</v>
      </c>
      <c r="H40" s="351">
        <f>78+1/8</f>
        <v>78.125</v>
      </c>
      <c r="I40" s="351">
        <v>2.2799999999999998</v>
      </c>
      <c r="J40" s="351">
        <f>10+11/16</f>
        <v>10.6875</v>
      </c>
      <c r="K40" s="352">
        <v>0.63</v>
      </c>
      <c r="L40" s="351">
        <v>31.71</v>
      </c>
      <c r="M40" s="351">
        <f t="shared" si="1"/>
        <v>24.367499999999996</v>
      </c>
    </row>
    <row r="41" spans="1:30" ht="15.75" x14ac:dyDescent="0.25">
      <c r="B41" s="370"/>
      <c r="C41" s="348">
        <v>40</v>
      </c>
      <c r="D41" s="348" t="s">
        <v>181</v>
      </c>
      <c r="E41" s="349">
        <v>10</v>
      </c>
      <c r="F41" s="350" t="s">
        <v>197</v>
      </c>
      <c r="G41" s="353">
        <v>22.5</v>
      </c>
      <c r="H41" s="351">
        <v>240</v>
      </c>
      <c r="I41" s="351">
        <v>2.85</v>
      </c>
      <c r="J41" s="351">
        <f>26+3/8</f>
        <v>26.375</v>
      </c>
      <c r="K41" s="352">
        <v>0.79</v>
      </c>
      <c r="L41" s="351">
        <v>29.65</v>
      </c>
      <c r="M41" s="351">
        <f t="shared" si="1"/>
        <v>75.168750000000003</v>
      </c>
    </row>
    <row r="42" spans="1:30" ht="15.75" x14ac:dyDescent="0.25">
      <c r="B42" s="370"/>
      <c r="C42" s="348">
        <v>41</v>
      </c>
      <c r="D42" s="348" t="s">
        <v>182</v>
      </c>
      <c r="E42" s="349">
        <v>10</v>
      </c>
      <c r="F42" s="350" t="s">
        <v>197</v>
      </c>
      <c r="G42" s="351">
        <v>22.5</v>
      </c>
      <c r="H42" s="351">
        <v>240</v>
      </c>
      <c r="I42" s="351">
        <v>2.85</v>
      </c>
      <c r="J42" s="351">
        <f>26+7/16</f>
        <v>26.4375</v>
      </c>
      <c r="K42" s="352">
        <v>0.79</v>
      </c>
      <c r="L42" s="351">
        <v>29.65</v>
      </c>
      <c r="M42" s="351">
        <f t="shared" si="1"/>
        <v>75.346874999999997</v>
      </c>
    </row>
    <row r="43" spans="1:30" ht="15.75" x14ac:dyDescent="0.25">
      <c r="B43" s="370"/>
      <c r="C43" s="348">
        <v>42</v>
      </c>
      <c r="D43" s="348" t="s">
        <v>183</v>
      </c>
      <c r="E43" s="349">
        <v>6</v>
      </c>
      <c r="F43" s="350" t="s">
        <v>197</v>
      </c>
      <c r="G43" s="351">
        <v>9.1</v>
      </c>
      <c r="H43" s="351">
        <f>89+15/16</f>
        <v>89.9375</v>
      </c>
      <c r="I43" s="351">
        <v>2.85</v>
      </c>
      <c r="J43" s="351">
        <f>10+5/8</f>
        <v>10.625</v>
      </c>
      <c r="K43" s="352">
        <v>0.98</v>
      </c>
      <c r="L43" s="351">
        <v>33.799999999999997</v>
      </c>
      <c r="M43" s="351">
        <f t="shared" si="1"/>
        <v>30.28125</v>
      </c>
    </row>
    <row r="44" spans="1:30" ht="15.75" x14ac:dyDescent="0.25">
      <c r="B44" s="371"/>
      <c r="C44" s="348">
        <v>43</v>
      </c>
      <c r="D44" s="348" t="s">
        <v>185</v>
      </c>
      <c r="E44" s="349">
        <v>7</v>
      </c>
      <c r="F44" s="350" t="s">
        <v>197</v>
      </c>
      <c r="G44" s="351">
        <v>9</v>
      </c>
      <c r="H44" s="351">
        <v>90</v>
      </c>
      <c r="I44" s="351">
        <v>2.85</v>
      </c>
      <c r="J44" s="351">
        <f>10+5/8</f>
        <v>10.625</v>
      </c>
      <c r="K44" s="352">
        <v>0.98</v>
      </c>
      <c r="L44" s="351">
        <v>33.799999999999997</v>
      </c>
      <c r="M44" s="351">
        <f t="shared" si="1"/>
        <v>30.28125</v>
      </c>
    </row>
    <row r="45" spans="1:30" ht="15.75" x14ac:dyDescent="0.25">
      <c r="B45" s="372" t="s">
        <v>200</v>
      </c>
      <c r="C45" s="172">
        <v>44</v>
      </c>
      <c r="D45" s="172" t="s">
        <v>140</v>
      </c>
      <c r="E45" s="330">
        <v>7</v>
      </c>
      <c r="F45" s="173" t="s">
        <v>197</v>
      </c>
      <c r="G45" s="288">
        <f>2016/25.4</f>
        <v>79.370078740157481</v>
      </c>
      <c r="H45" s="287">
        <f t="shared" ref="H45:H50" si="2">I45*J45*2</f>
        <v>212.77165354330711</v>
      </c>
      <c r="I45" s="288">
        <v>2.95</v>
      </c>
      <c r="J45" s="287">
        <f>916/25.4</f>
        <v>36.062992125984252</v>
      </c>
      <c r="K45" s="291">
        <v>0.76</v>
      </c>
      <c r="L45" s="172">
        <v>64</v>
      </c>
      <c r="M45" s="287">
        <f t="shared" si="1"/>
        <v>106.38582677165356</v>
      </c>
      <c r="AC45" t="s">
        <v>121</v>
      </c>
    </row>
    <row r="46" spans="1:30" ht="15.75" x14ac:dyDescent="0.25">
      <c r="B46" s="373"/>
      <c r="C46" s="172">
        <v>45</v>
      </c>
      <c r="D46" s="172" t="s">
        <v>142</v>
      </c>
      <c r="E46" s="330">
        <v>7</v>
      </c>
      <c r="F46" s="173" t="s">
        <v>197</v>
      </c>
      <c r="G46" s="288">
        <f>250/25.4</f>
        <v>9.8425196850393704</v>
      </c>
      <c r="H46" s="287">
        <f t="shared" si="2"/>
        <v>101.50787401574803</v>
      </c>
      <c r="I46" s="288">
        <v>2.95</v>
      </c>
      <c r="J46" s="287">
        <f>437/25.4</f>
        <v>17.204724409448819</v>
      </c>
      <c r="K46" s="291">
        <v>0.91500000000000004</v>
      </c>
      <c r="L46" s="172">
        <v>37.700000000000003</v>
      </c>
      <c r="M46" s="287">
        <f t="shared" si="1"/>
        <v>50.753937007874015</v>
      </c>
      <c r="AB46" t="s">
        <v>222</v>
      </c>
      <c r="AC46">
        <v>5</v>
      </c>
      <c r="AD46">
        <f t="array" ref="AD46:AD59">FREQUENCY(G2:G87,AC46:AC54)</f>
        <v>11</v>
      </c>
    </row>
    <row r="47" spans="1:30" ht="18" customHeight="1" x14ac:dyDescent="0.25">
      <c r="B47" s="373"/>
      <c r="C47" s="172">
        <v>46</v>
      </c>
      <c r="D47" s="172" t="s">
        <v>143</v>
      </c>
      <c r="E47" s="330">
        <v>6</v>
      </c>
      <c r="F47" s="173" t="s">
        <v>197</v>
      </c>
      <c r="G47" s="288">
        <f>250/25.4</f>
        <v>9.8425196850393704</v>
      </c>
      <c r="H47" s="287">
        <f t="shared" si="2"/>
        <v>101.50787401574803</v>
      </c>
      <c r="I47" s="288">
        <v>2.95</v>
      </c>
      <c r="J47" s="287">
        <f>437/25.4</f>
        <v>17.204724409448819</v>
      </c>
      <c r="K47" s="292">
        <v>0.90500000000000003</v>
      </c>
      <c r="L47" s="172">
        <v>38.5</v>
      </c>
      <c r="M47" s="287">
        <f t="shared" si="1"/>
        <v>50.753937007874015</v>
      </c>
      <c r="AB47" s="317" t="s">
        <v>223</v>
      </c>
      <c r="AC47">
        <v>10</v>
      </c>
      <c r="AD47">
        <v>36</v>
      </c>
    </row>
    <row r="48" spans="1:30" ht="15.75" x14ac:dyDescent="0.25">
      <c r="B48" s="373"/>
      <c r="C48" s="172">
        <v>47</v>
      </c>
      <c r="D48" s="172" t="s">
        <v>144</v>
      </c>
      <c r="E48" s="330">
        <v>7</v>
      </c>
      <c r="F48" s="173" t="s">
        <v>201</v>
      </c>
      <c r="G48" s="288">
        <f>1002/25.4</f>
        <v>39.4488188976378</v>
      </c>
      <c r="H48" s="287">
        <f t="shared" si="2"/>
        <v>101.9724409448819</v>
      </c>
      <c r="I48" s="288">
        <v>2.95</v>
      </c>
      <c r="J48" s="287">
        <f>439/25.4</f>
        <v>17.283464566929133</v>
      </c>
      <c r="K48" s="291">
        <v>0.90900000000000003</v>
      </c>
      <c r="L48" s="172">
        <v>39</v>
      </c>
      <c r="M48" s="287">
        <f t="shared" si="1"/>
        <v>50.986220472440948</v>
      </c>
      <c r="AB48" s="317" t="s">
        <v>225</v>
      </c>
      <c r="AC48">
        <v>15</v>
      </c>
      <c r="AD48">
        <v>22</v>
      </c>
    </row>
    <row r="49" spans="2:30" ht="15.75" x14ac:dyDescent="0.25">
      <c r="B49" s="373"/>
      <c r="C49" s="172">
        <v>48</v>
      </c>
      <c r="D49" s="172" t="s">
        <v>145</v>
      </c>
      <c r="E49" s="330">
        <v>6</v>
      </c>
      <c r="F49" s="173" t="s">
        <v>201</v>
      </c>
      <c r="G49" s="288">
        <f>1002/25.4</f>
        <v>39.4488188976378</v>
      </c>
      <c r="H49" s="287">
        <f t="shared" si="2"/>
        <v>101.74015748031498</v>
      </c>
      <c r="I49" s="288">
        <v>2.95</v>
      </c>
      <c r="J49" s="287">
        <f>438/25.4</f>
        <v>17.244094488188978</v>
      </c>
      <c r="K49" s="291">
        <v>0.91100000000000003</v>
      </c>
      <c r="L49" s="172">
        <v>37.9</v>
      </c>
      <c r="M49" s="287">
        <f t="shared" si="1"/>
        <v>50.870078740157489</v>
      </c>
      <c r="AB49" s="318" t="s">
        <v>226</v>
      </c>
      <c r="AC49">
        <v>20</v>
      </c>
      <c r="AD49">
        <v>2</v>
      </c>
    </row>
    <row r="50" spans="2:30" ht="15.75" x14ac:dyDescent="0.25">
      <c r="B50" s="373"/>
      <c r="C50" s="172">
        <v>49</v>
      </c>
      <c r="D50" s="172" t="s">
        <v>146</v>
      </c>
      <c r="E50" s="330">
        <v>8</v>
      </c>
      <c r="F50" s="173" t="s">
        <v>201</v>
      </c>
      <c r="G50" s="288">
        <f>3005/25.4</f>
        <v>118.30708661417323</v>
      </c>
      <c r="H50" s="287">
        <f t="shared" si="2"/>
        <v>102.20472440944883</v>
      </c>
      <c r="I50" s="288">
        <v>2.95</v>
      </c>
      <c r="J50" s="287">
        <f>440/25.4</f>
        <v>17.322834645669293</v>
      </c>
      <c r="K50" s="291">
        <v>0.90800000000000003</v>
      </c>
      <c r="L50" s="172">
        <v>40.6</v>
      </c>
      <c r="M50" s="287">
        <f t="shared" si="1"/>
        <v>51.102362204724415</v>
      </c>
      <c r="AB50" s="318" t="s">
        <v>228</v>
      </c>
      <c r="AC50">
        <v>25</v>
      </c>
      <c r="AD50">
        <v>7</v>
      </c>
    </row>
    <row r="51" spans="2:30" ht="15.75" x14ac:dyDescent="0.25">
      <c r="B51" s="373"/>
      <c r="C51" s="172">
        <v>50</v>
      </c>
      <c r="D51" s="172" t="s">
        <v>147</v>
      </c>
      <c r="E51" s="330">
        <v>7</v>
      </c>
      <c r="F51" s="173" t="s">
        <v>201</v>
      </c>
      <c r="G51" s="288">
        <f>697/25.4</f>
        <v>27.440944881889767</v>
      </c>
      <c r="H51" s="287">
        <f>1080/25.4</f>
        <v>42.519685039370081</v>
      </c>
      <c r="I51" s="288">
        <v>3.39</v>
      </c>
      <c r="J51" s="287">
        <f>307/25.4</f>
        <v>12.086614173228346</v>
      </c>
      <c r="K51" s="291">
        <v>0.93</v>
      </c>
      <c r="L51" s="172">
        <v>37.5</v>
      </c>
      <c r="M51" s="287">
        <f t="shared" si="1"/>
        <v>40.973622047244092</v>
      </c>
      <c r="AB51" s="318" t="s">
        <v>227</v>
      </c>
      <c r="AC51">
        <v>30</v>
      </c>
      <c r="AD51">
        <v>4</v>
      </c>
    </row>
    <row r="52" spans="2:30" ht="15.75" x14ac:dyDescent="0.25">
      <c r="B52" s="373"/>
      <c r="C52" s="172">
        <v>51</v>
      </c>
      <c r="D52" s="172" t="s">
        <v>149</v>
      </c>
      <c r="E52" s="330">
        <v>6</v>
      </c>
      <c r="F52" s="173" t="s">
        <v>201</v>
      </c>
      <c r="G52" s="288">
        <f>700/25.4</f>
        <v>27.559055118110237</v>
      </c>
      <c r="H52" s="287">
        <f>1080/25.4</f>
        <v>42.519685039370081</v>
      </c>
      <c r="I52" s="288">
        <v>3.39</v>
      </c>
      <c r="J52" s="287">
        <f>306/25.4</f>
        <v>12.047244094488189</v>
      </c>
      <c r="K52" s="291">
        <v>0.93</v>
      </c>
      <c r="L52" s="172">
        <v>37.799999999999997</v>
      </c>
      <c r="M52" s="287">
        <f t="shared" si="1"/>
        <v>40.840157480314964</v>
      </c>
      <c r="AB52" s="318" t="s">
        <v>229</v>
      </c>
      <c r="AC52">
        <v>40</v>
      </c>
      <c r="AD52">
        <v>2</v>
      </c>
    </row>
    <row r="53" spans="2:30" ht="15.75" x14ac:dyDescent="0.25">
      <c r="B53" s="373"/>
      <c r="C53" s="172">
        <v>52</v>
      </c>
      <c r="D53" s="172" t="s">
        <v>148</v>
      </c>
      <c r="E53" s="330">
        <v>6</v>
      </c>
      <c r="F53" s="173" t="s">
        <v>201</v>
      </c>
      <c r="G53" s="288">
        <f>706/25.4</f>
        <v>27.795275590551181</v>
      </c>
      <c r="H53" s="287">
        <f>1080/25.4</f>
        <v>42.519685039370081</v>
      </c>
      <c r="I53" s="288">
        <v>3.39</v>
      </c>
      <c r="J53" s="287">
        <f>306/25.4</f>
        <v>12.047244094488189</v>
      </c>
      <c r="K53" s="291">
        <v>0.93</v>
      </c>
      <c r="L53" s="172">
        <v>37.1</v>
      </c>
      <c r="M53" s="287">
        <f t="shared" si="1"/>
        <v>40.840157480314964</v>
      </c>
      <c r="AB53" s="318" t="s">
        <v>236</v>
      </c>
      <c r="AC53">
        <v>80</v>
      </c>
      <c r="AD53">
        <v>1</v>
      </c>
    </row>
    <row r="54" spans="2:30" ht="15.75" x14ac:dyDescent="0.25">
      <c r="B54" s="373"/>
      <c r="C54" s="172">
        <v>53</v>
      </c>
      <c r="D54" s="172" t="s">
        <v>150</v>
      </c>
      <c r="E54" s="330">
        <v>5</v>
      </c>
      <c r="F54" s="173" t="s">
        <v>201</v>
      </c>
      <c r="G54" s="288">
        <f>706/25.4</f>
        <v>27.795275590551181</v>
      </c>
      <c r="H54" s="287">
        <f>1080/25.4</f>
        <v>42.519685039370081</v>
      </c>
      <c r="I54" s="288">
        <v>3.39</v>
      </c>
      <c r="J54" s="287">
        <f>306/25.4</f>
        <v>12.047244094488189</v>
      </c>
      <c r="K54" s="291">
        <v>0.93</v>
      </c>
      <c r="L54" s="172">
        <v>37.1</v>
      </c>
      <c r="M54" s="287">
        <f t="shared" si="1"/>
        <v>40.840157480314964</v>
      </c>
      <c r="AB54" s="318" t="s">
        <v>235</v>
      </c>
      <c r="AC54">
        <v>120</v>
      </c>
      <c r="AD54">
        <v>1</v>
      </c>
    </row>
    <row r="55" spans="2:30" ht="15.75" x14ac:dyDescent="0.25">
      <c r="B55" s="373"/>
      <c r="C55" s="172">
        <v>54</v>
      </c>
      <c r="D55" s="172" t="s">
        <v>151</v>
      </c>
      <c r="E55" s="330">
        <v>6</v>
      </c>
      <c r="F55" s="173" t="s">
        <v>197</v>
      </c>
      <c r="G55" s="1">
        <f t="shared" ref="G55:G62" si="3">300/25.4</f>
        <v>11.811023622047244</v>
      </c>
      <c r="H55" s="287">
        <f>8100/25.4</f>
        <v>318.89763779527561</v>
      </c>
      <c r="I55" s="288">
        <v>2.89</v>
      </c>
      <c r="J55" s="287">
        <f t="shared" ref="J55:J62" si="4">1400/25.4</f>
        <v>55.118110236220474</v>
      </c>
      <c r="K55" s="291">
        <v>0.83</v>
      </c>
      <c r="L55" s="172">
        <v>38.4</v>
      </c>
      <c r="M55" s="287">
        <f t="shared" si="1"/>
        <v>159.29133858267718</v>
      </c>
      <c r="AB55" s="318"/>
      <c r="AC55">
        <v>80</v>
      </c>
      <c r="AD55">
        <v>0</v>
      </c>
    </row>
    <row r="56" spans="2:30" ht="15.75" x14ac:dyDescent="0.25">
      <c r="B56" s="373"/>
      <c r="C56" s="172">
        <v>55</v>
      </c>
      <c r="D56" s="172" t="s">
        <v>152</v>
      </c>
      <c r="E56" s="330">
        <v>6</v>
      </c>
      <c r="F56" s="173" t="s">
        <v>197</v>
      </c>
      <c r="G56" s="288">
        <f t="shared" si="3"/>
        <v>11.811023622047244</v>
      </c>
      <c r="H56" s="287">
        <f t="shared" ref="H56:H62" si="5">8100/25.4</f>
        <v>318.89763779527561</v>
      </c>
      <c r="I56" s="288">
        <v>2.89</v>
      </c>
      <c r="J56" s="287">
        <f t="shared" si="4"/>
        <v>55.118110236220474</v>
      </c>
      <c r="K56" s="291">
        <v>0.83</v>
      </c>
      <c r="L56" s="172">
        <v>40.299999999999997</v>
      </c>
      <c r="M56" s="287">
        <f t="shared" si="1"/>
        <v>159.29133858267718</v>
      </c>
      <c r="AB56" s="318"/>
      <c r="AC56">
        <v>120</v>
      </c>
      <c r="AD56" t="e">
        <v>#N/A</v>
      </c>
    </row>
    <row r="57" spans="2:30" ht="15.75" x14ac:dyDescent="0.25">
      <c r="B57" s="373"/>
      <c r="C57" s="172">
        <v>56</v>
      </c>
      <c r="D57" s="172" t="s">
        <v>153</v>
      </c>
      <c r="E57" s="330">
        <v>6</v>
      </c>
      <c r="F57" s="173" t="s">
        <v>197</v>
      </c>
      <c r="G57" s="288">
        <f t="shared" si="3"/>
        <v>11.811023622047244</v>
      </c>
      <c r="H57" s="287">
        <f t="shared" si="5"/>
        <v>318.89763779527561</v>
      </c>
      <c r="I57" s="288">
        <v>2.89</v>
      </c>
      <c r="J57" s="287">
        <f t="shared" si="4"/>
        <v>55.118110236220474</v>
      </c>
      <c r="K57" s="291">
        <v>0.83</v>
      </c>
      <c r="L57" s="172">
        <v>73.599999999999994</v>
      </c>
      <c r="M57" s="287">
        <f t="shared" si="1"/>
        <v>159.29133858267718</v>
      </c>
      <c r="AB57" s="318"/>
      <c r="AC57">
        <v>120</v>
      </c>
      <c r="AD57" t="e">
        <v>#N/A</v>
      </c>
    </row>
    <row r="58" spans="2:30" ht="15.75" x14ac:dyDescent="0.25">
      <c r="B58" s="373"/>
      <c r="C58" s="172">
        <v>57</v>
      </c>
      <c r="D58" s="172" t="s">
        <v>154</v>
      </c>
      <c r="E58" s="330">
        <v>6</v>
      </c>
      <c r="F58" s="173" t="s">
        <v>197</v>
      </c>
      <c r="G58" s="288">
        <f t="shared" si="3"/>
        <v>11.811023622047244</v>
      </c>
      <c r="H58" s="287">
        <f t="shared" si="5"/>
        <v>318.89763779527561</v>
      </c>
      <c r="I58" s="288">
        <v>2.89</v>
      </c>
      <c r="J58" s="287">
        <f t="shared" si="4"/>
        <v>55.118110236220474</v>
      </c>
      <c r="K58" s="291">
        <v>1.33</v>
      </c>
      <c r="L58" s="172">
        <v>71.2</v>
      </c>
      <c r="M58" s="287">
        <f t="shared" si="1"/>
        <v>159.29133858267718</v>
      </c>
      <c r="AC58">
        <v>130</v>
      </c>
      <c r="AD58" t="e">
        <v>#N/A</v>
      </c>
    </row>
    <row r="59" spans="2:30" ht="15.75" x14ac:dyDescent="0.25">
      <c r="B59" s="373"/>
      <c r="C59" s="172">
        <v>58</v>
      </c>
      <c r="D59" s="172" t="s">
        <v>155</v>
      </c>
      <c r="E59" s="330">
        <v>6</v>
      </c>
      <c r="F59" s="173" t="s">
        <v>197</v>
      </c>
      <c r="G59" s="288">
        <f t="shared" si="3"/>
        <v>11.811023622047244</v>
      </c>
      <c r="H59" s="287">
        <f t="shared" si="5"/>
        <v>318.89763779527561</v>
      </c>
      <c r="I59" s="288">
        <v>2.89</v>
      </c>
      <c r="J59" s="287">
        <f t="shared" si="4"/>
        <v>55.118110236220474</v>
      </c>
      <c r="K59" s="291">
        <v>0.83</v>
      </c>
      <c r="L59" s="172">
        <v>31.4</v>
      </c>
      <c r="M59" s="287">
        <f t="shared" si="1"/>
        <v>159.29133858267718</v>
      </c>
      <c r="AD59" t="e">
        <v>#N/A</v>
      </c>
    </row>
    <row r="60" spans="2:30" ht="15.75" x14ac:dyDescent="0.25">
      <c r="B60" s="373"/>
      <c r="C60" s="172">
        <v>59</v>
      </c>
      <c r="D60" s="172" t="s">
        <v>156</v>
      </c>
      <c r="E60" s="330">
        <v>6</v>
      </c>
      <c r="F60" s="173" t="s">
        <v>197</v>
      </c>
      <c r="G60" s="288">
        <f t="shared" si="3"/>
        <v>11.811023622047244</v>
      </c>
      <c r="H60" s="287">
        <f t="shared" si="5"/>
        <v>318.89763779527561</v>
      </c>
      <c r="I60" s="288">
        <v>2.89</v>
      </c>
      <c r="J60" s="287">
        <f t="shared" si="4"/>
        <v>55.118110236220474</v>
      </c>
      <c r="K60" s="291">
        <v>0.83</v>
      </c>
      <c r="L60" s="172">
        <v>33.200000000000003</v>
      </c>
      <c r="M60" s="287">
        <f t="shared" si="1"/>
        <v>159.29133858267718</v>
      </c>
    </row>
    <row r="61" spans="2:30" ht="15.75" x14ac:dyDescent="0.25">
      <c r="B61" s="373"/>
      <c r="C61" s="172">
        <v>60</v>
      </c>
      <c r="D61" s="172" t="s">
        <v>157</v>
      </c>
      <c r="E61" s="330">
        <v>4</v>
      </c>
      <c r="F61" s="173" t="s">
        <v>197</v>
      </c>
      <c r="G61" s="288">
        <f t="shared" si="3"/>
        <v>11.811023622047244</v>
      </c>
      <c r="H61" s="287">
        <f t="shared" si="5"/>
        <v>318.89763779527561</v>
      </c>
      <c r="I61" s="288">
        <v>2.89</v>
      </c>
      <c r="J61" s="287">
        <f t="shared" si="4"/>
        <v>55.118110236220474</v>
      </c>
      <c r="K61" s="291">
        <v>0.83</v>
      </c>
      <c r="L61" s="172">
        <v>28.1</v>
      </c>
      <c r="M61" s="287">
        <f t="shared" si="1"/>
        <v>159.29133858267718</v>
      </c>
    </row>
    <row r="62" spans="2:30" ht="15.75" x14ac:dyDescent="0.25">
      <c r="B62" s="373"/>
      <c r="C62" s="172">
        <v>61</v>
      </c>
      <c r="D62" s="172" t="s">
        <v>158</v>
      </c>
      <c r="E62" s="330">
        <v>7</v>
      </c>
      <c r="F62" s="173" t="s">
        <v>197</v>
      </c>
      <c r="G62" s="288">
        <f t="shared" si="3"/>
        <v>11.811023622047244</v>
      </c>
      <c r="H62" s="287">
        <f t="shared" si="5"/>
        <v>318.89763779527561</v>
      </c>
      <c r="I62" s="288">
        <v>2.89</v>
      </c>
      <c r="J62" s="287">
        <f t="shared" si="4"/>
        <v>55.118110236220474</v>
      </c>
      <c r="K62" s="291">
        <v>0.83</v>
      </c>
      <c r="L62" s="172">
        <v>28.5</v>
      </c>
      <c r="M62" s="287">
        <f t="shared" si="1"/>
        <v>159.29133858267718</v>
      </c>
    </row>
    <row r="63" spans="2:30" ht="15.75" x14ac:dyDescent="0.25">
      <c r="B63" s="373"/>
      <c r="C63" s="172">
        <v>62</v>
      </c>
      <c r="D63" s="172" t="s">
        <v>159</v>
      </c>
      <c r="E63" s="330">
        <v>4</v>
      </c>
      <c r="F63" s="173" t="s">
        <v>197</v>
      </c>
      <c r="G63" s="288">
        <f>122/25.4</f>
        <v>4.8031496062992129</v>
      </c>
      <c r="H63" s="287">
        <f>1620/25.4</f>
        <v>63.779527559055119</v>
      </c>
      <c r="I63" s="288">
        <v>2.89</v>
      </c>
      <c r="J63" s="287">
        <f>280/25.4</f>
        <v>11.023622047244094</v>
      </c>
      <c r="K63" s="291">
        <v>0.83</v>
      </c>
      <c r="L63" s="172">
        <v>41.9</v>
      </c>
      <c r="M63" s="287">
        <f t="shared" si="1"/>
        <v>31.858267716535433</v>
      </c>
    </row>
    <row r="64" spans="2:30" ht="15.75" x14ac:dyDescent="0.25">
      <c r="B64" s="373"/>
      <c r="C64" s="172">
        <v>63</v>
      </c>
      <c r="D64" s="172" t="s">
        <v>160</v>
      </c>
      <c r="E64" s="330">
        <v>8</v>
      </c>
      <c r="F64" s="173" t="s">
        <v>197</v>
      </c>
      <c r="G64" s="288">
        <f t="shared" ref="G64:G73" si="6">122/25.4</f>
        <v>4.8031496062992129</v>
      </c>
      <c r="H64" s="287">
        <f t="shared" ref="H64:H73" si="7">1620/25.4</f>
        <v>63.779527559055119</v>
      </c>
      <c r="I64" s="288">
        <v>2.89</v>
      </c>
      <c r="J64" s="287">
        <f t="shared" ref="J64:J73" si="8">280/25.4</f>
        <v>11.023622047244094</v>
      </c>
      <c r="K64" s="291">
        <v>0.83</v>
      </c>
      <c r="L64" s="172">
        <v>41.9</v>
      </c>
      <c r="M64" s="287">
        <f t="shared" si="1"/>
        <v>31.858267716535433</v>
      </c>
    </row>
    <row r="65" spans="2:13" ht="15.75" x14ac:dyDescent="0.25">
      <c r="B65" s="373"/>
      <c r="C65" s="172">
        <v>64</v>
      </c>
      <c r="D65" s="172" t="s">
        <v>161</v>
      </c>
      <c r="E65" s="330">
        <v>6</v>
      </c>
      <c r="F65" s="173" t="s">
        <v>197</v>
      </c>
      <c r="G65" s="288">
        <f t="shared" si="6"/>
        <v>4.8031496062992129</v>
      </c>
      <c r="H65" s="287">
        <f t="shared" si="7"/>
        <v>63.779527559055119</v>
      </c>
      <c r="I65" s="288">
        <v>2.89</v>
      </c>
      <c r="J65" s="287">
        <f t="shared" si="8"/>
        <v>11.023622047244094</v>
      </c>
      <c r="K65" s="291">
        <v>0.83</v>
      </c>
      <c r="L65" s="172">
        <v>39.200000000000003</v>
      </c>
      <c r="M65" s="287">
        <f t="shared" si="1"/>
        <v>31.858267716535433</v>
      </c>
    </row>
    <row r="66" spans="2:13" ht="15.75" x14ac:dyDescent="0.25">
      <c r="B66" s="373"/>
      <c r="C66" s="172">
        <v>65</v>
      </c>
      <c r="D66" s="172" t="s">
        <v>162</v>
      </c>
      <c r="E66" s="330">
        <v>10</v>
      </c>
      <c r="F66" s="173" t="s">
        <v>197</v>
      </c>
      <c r="G66" s="288">
        <f t="shared" si="6"/>
        <v>4.8031496062992129</v>
      </c>
      <c r="H66" s="287">
        <f t="shared" si="7"/>
        <v>63.779527559055119</v>
      </c>
      <c r="I66" s="288">
        <v>2.89</v>
      </c>
      <c r="J66" s="287">
        <f t="shared" si="8"/>
        <v>11.023622047244094</v>
      </c>
      <c r="K66" s="291">
        <v>0.83</v>
      </c>
      <c r="L66" s="172">
        <v>38.1</v>
      </c>
      <c r="M66" s="287">
        <f t="shared" ref="M66:M87" si="9">I66*J66</f>
        <v>31.858267716535433</v>
      </c>
    </row>
    <row r="67" spans="2:13" ht="15.75" x14ac:dyDescent="0.25">
      <c r="B67" s="373"/>
      <c r="C67" s="172">
        <v>66</v>
      </c>
      <c r="D67" s="172" t="s">
        <v>163</v>
      </c>
      <c r="E67" s="330">
        <v>10</v>
      </c>
      <c r="F67" s="173" t="s">
        <v>197</v>
      </c>
      <c r="G67" s="288">
        <f t="shared" si="6"/>
        <v>4.8031496062992129</v>
      </c>
      <c r="H67" s="287">
        <f t="shared" si="7"/>
        <v>63.779527559055119</v>
      </c>
      <c r="I67" s="288">
        <v>2.89</v>
      </c>
      <c r="J67" s="287">
        <f t="shared" si="8"/>
        <v>11.023622047244094</v>
      </c>
      <c r="K67" s="291">
        <v>0.83</v>
      </c>
      <c r="L67" s="172">
        <v>29.1</v>
      </c>
      <c r="M67" s="287">
        <f t="shared" si="9"/>
        <v>31.858267716535433</v>
      </c>
    </row>
    <row r="68" spans="2:13" ht="15.75" x14ac:dyDescent="0.25">
      <c r="B68" s="373"/>
      <c r="C68" s="172">
        <v>67</v>
      </c>
      <c r="D68" s="172" t="s">
        <v>164</v>
      </c>
      <c r="E68" s="330">
        <v>7</v>
      </c>
      <c r="F68" s="173" t="s">
        <v>197</v>
      </c>
      <c r="G68" s="288">
        <f t="shared" si="6"/>
        <v>4.8031496062992129</v>
      </c>
      <c r="H68" s="287">
        <f t="shared" si="7"/>
        <v>63.779527559055119</v>
      </c>
      <c r="I68" s="288">
        <v>2.89</v>
      </c>
      <c r="J68" s="287">
        <f t="shared" si="8"/>
        <v>11.023622047244094</v>
      </c>
      <c r="K68" s="291">
        <v>0.83</v>
      </c>
      <c r="L68" s="172">
        <v>29.1</v>
      </c>
      <c r="M68" s="287">
        <f t="shared" si="9"/>
        <v>31.858267716535433</v>
      </c>
    </row>
    <row r="69" spans="2:13" ht="15.75" x14ac:dyDescent="0.25">
      <c r="B69" s="373"/>
      <c r="C69" s="172">
        <v>68</v>
      </c>
      <c r="D69" s="172" t="s">
        <v>165</v>
      </c>
      <c r="E69" s="330">
        <v>7</v>
      </c>
      <c r="F69" s="173" t="s">
        <v>197</v>
      </c>
      <c r="G69" s="288">
        <f t="shared" si="6"/>
        <v>4.8031496062992129</v>
      </c>
      <c r="H69" s="287">
        <f t="shared" si="7"/>
        <v>63.779527559055119</v>
      </c>
      <c r="I69" s="288">
        <v>2.89</v>
      </c>
      <c r="J69" s="287">
        <f t="shared" si="8"/>
        <v>11.023622047244094</v>
      </c>
      <c r="K69" s="291">
        <v>0.83</v>
      </c>
      <c r="L69" s="172">
        <v>43.5</v>
      </c>
      <c r="M69" s="287">
        <f t="shared" si="9"/>
        <v>31.858267716535433</v>
      </c>
    </row>
    <row r="70" spans="2:13" ht="15.75" x14ac:dyDescent="0.25">
      <c r="B70" s="373"/>
      <c r="C70" s="172">
        <v>69</v>
      </c>
      <c r="D70" s="172" t="s">
        <v>166</v>
      </c>
      <c r="E70" s="330">
        <v>7</v>
      </c>
      <c r="F70" s="173" t="s">
        <v>197</v>
      </c>
      <c r="G70" s="288">
        <f t="shared" si="6"/>
        <v>4.8031496062992129</v>
      </c>
      <c r="H70" s="287">
        <f t="shared" si="7"/>
        <v>63.779527559055119</v>
      </c>
      <c r="I70" s="288">
        <v>2.89</v>
      </c>
      <c r="J70" s="287">
        <f t="shared" si="8"/>
        <v>11.023622047244094</v>
      </c>
      <c r="K70" s="291">
        <v>0.83</v>
      </c>
      <c r="L70" s="172">
        <v>43.5</v>
      </c>
      <c r="M70" s="287">
        <f t="shared" si="9"/>
        <v>31.858267716535433</v>
      </c>
    </row>
    <row r="71" spans="2:13" ht="15.75" x14ac:dyDescent="0.25">
      <c r="B71" s="373"/>
      <c r="C71" s="172">
        <v>70</v>
      </c>
      <c r="D71" s="172" t="s">
        <v>167</v>
      </c>
      <c r="E71" s="330">
        <v>5</v>
      </c>
      <c r="F71" s="173" t="s">
        <v>197</v>
      </c>
      <c r="G71" s="288">
        <f t="shared" si="6"/>
        <v>4.8031496062992129</v>
      </c>
      <c r="H71" s="287">
        <f t="shared" si="7"/>
        <v>63.779527559055119</v>
      </c>
      <c r="I71" s="288">
        <v>2.94</v>
      </c>
      <c r="J71" s="287">
        <f t="shared" si="8"/>
        <v>11.023622047244094</v>
      </c>
      <c r="K71" s="291">
        <v>0.81</v>
      </c>
      <c r="L71" s="172">
        <v>40.6</v>
      </c>
      <c r="M71" s="287">
        <f t="shared" si="9"/>
        <v>32.409448818897637</v>
      </c>
    </row>
    <row r="72" spans="2:13" ht="15.75" x14ac:dyDescent="0.25">
      <c r="B72" s="373"/>
      <c r="C72" s="172">
        <v>71</v>
      </c>
      <c r="D72" s="172" t="s">
        <v>168</v>
      </c>
      <c r="E72" s="330">
        <v>9</v>
      </c>
      <c r="F72" s="173" t="s">
        <v>197</v>
      </c>
      <c r="G72" s="288">
        <f t="shared" si="6"/>
        <v>4.8031496062992129</v>
      </c>
      <c r="H72" s="287">
        <f t="shared" si="7"/>
        <v>63.779527559055119</v>
      </c>
      <c r="I72" s="288">
        <v>2.89</v>
      </c>
      <c r="J72" s="287">
        <f t="shared" si="8"/>
        <v>11.023622047244094</v>
      </c>
      <c r="K72" s="291">
        <v>0.83</v>
      </c>
      <c r="L72" s="172">
        <v>73.599999999999994</v>
      </c>
      <c r="M72" s="287">
        <f t="shared" si="9"/>
        <v>31.858267716535433</v>
      </c>
    </row>
    <row r="73" spans="2:13" ht="15.75" x14ac:dyDescent="0.25">
      <c r="B73" s="373"/>
      <c r="C73" s="172">
        <v>72</v>
      </c>
      <c r="D73" s="172" t="s">
        <v>169</v>
      </c>
      <c r="E73" s="330">
        <v>9</v>
      </c>
      <c r="F73" s="173" t="s">
        <v>197</v>
      </c>
      <c r="G73" s="288">
        <f t="shared" si="6"/>
        <v>4.8031496062992129</v>
      </c>
      <c r="H73" s="287">
        <f t="shared" si="7"/>
        <v>63.779527559055119</v>
      </c>
      <c r="I73" s="291">
        <v>2.89</v>
      </c>
      <c r="J73" s="288">
        <f t="shared" si="8"/>
        <v>11.023622047244094</v>
      </c>
      <c r="K73" s="287">
        <v>1.34</v>
      </c>
      <c r="L73" s="291">
        <v>77.3</v>
      </c>
      <c r="M73" s="287">
        <f t="shared" si="9"/>
        <v>31.858267716535433</v>
      </c>
    </row>
    <row r="74" spans="2:13" ht="15.75" x14ac:dyDescent="0.25">
      <c r="B74" s="374"/>
      <c r="C74" s="172">
        <v>73</v>
      </c>
      <c r="D74" s="172" t="s">
        <v>170</v>
      </c>
      <c r="E74" s="330">
        <v>4</v>
      </c>
      <c r="F74" s="173" t="s">
        <v>197</v>
      </c>
      <c r="G74" s="288">
        <f>295/25.4</f>
        <v>11.614173228346457</v>
      </c>
      <c r="H74" s="287">
        <f>8100/25.4</f>
        <v>318.89763779527561</v>
      </c>
      <c r="I74" s="291">
        <v>2.79</v>
      </c>
      <c r="J74" s="288">
        <f>1450/25.4</f>
        <v>57.086614173228348</v>
      </c>
      <c r="K74" s="287">
        <v>0.25</v>
      </c>
      <c r="L74" s="291">
        <v>35.4</v>
      </c>
      <c r="M74" s="287">
        <f t="shared" si="9"/>
        <v>159.27165354330708</v>
      </c>
    </row>
    <row r="75" spans="2:13" ht="69.75" customHeight="1" x14ac:dyDescent="0.25">
      <c r="B75" s="295" t="s">
        <v>202</v>
      </c>
      <c r="C75" s="172">
        <v>74</v>
      </c>
      <c r="D75" s="297" t="s">
        <v>193</v>
      </c>
      <c r="E75" s="331">
        <v>10</v>
      </c>
      <c r="F75" s="296" t="s">
        <v>201</v>
      </c>
      <c r="G75" s="297">
        <f>250/25.4</f>
        <v>9.8425196850393704</v>
      </c>
      <c r="H75" s="297">
        <f>23808/25.4</f>
        <v>937.32283464566933</v>
      </c>
      <c r="I75" s="296">
        <v>3.1</v>
      </c>
      <c r="J75" s="297">
        <f>3840/25.4</f>
        <v>151.18110236220474</v>
      </c>
      <c r="K75" s="297">
        <v>0.66</v>
      </c>
      <c r="L75" s="296">
        <v>40</v>
      </c>
      <c r="M75" s="297">
        <f t="shared" si="9"/>
        <v>468.66141732283472</v>
      </c>
    </row>
    <row r="76" spans="2:13" ht="69.75" customHeight="1" x14ac:dyDescent="0.25">
      <c r="B76" s="295" t="s">
        <v>203</v>
      </c>
      <c r="C76" s="172">
        <v>75</v>
      </c>
      <c r="D76" s="297" t="s">
        <v>237</v>
      </c>
      <c r="E76" s="331">
        <v>4</v>
      </c>
      <c r="F76" s="296" t="s">
        <v>201</v>
      </c>
      <c r="G76" s="297">
        <f>300/25.4</f>
        <v>11.811023622047244</v>
      </c>
      <c r="H76" s="297">
        <f>2*M76</f>
        <v>425.62204724409452</v>
      </c>
      <c r="I76" s="296">
        <v>2.86</v>
      </c>
      <c r="J76" s="297">
        <f>1890/25.4</f>
        <v>74.409448818897644</v>
      </c>
      <c r="K76" s="297">
        <v>0.74</v>
      </c>
      <c r="L76" s="296">
        <v>31.8</v>
      </c>
      <c r="M76" s="297">
        <f>I76*J76</f>
        <v>212.81102362204726</v>
      </c>
    </row>
    <row r="77" spans="2:13" ht="39.75" customHeight="1" x14ac:dyDescent="0.25">
      <c r="B77" s="378" t="s">
        <v>206</v>
      </c>
      <c r="C77" s="172">
        <v>76</v>
      </c>
      <c r="D77" s="297" t="s">
        <v>238</v>
      </c>
      <c r="E77" s="331">
        <v>6</v>
      </c>
      <c r="F77" s="296" t="s">
        <v>201</v>
      </c>
      <c r="G77" s="297">
        <f t="shared" ref="G77:G78" si="10">300/25.4</f>
        <v>11.811023622047244</v>
      </c>
      <c r="H77" s="297">
        <f t="shared" ref="H77:H78" si="11">2*M77</f>
        <v>425.04015748031497</v>
      </c>
      <c r="I77" s="296">
        <v>2.81</v>
      </c>
      <c r="J77" s="297">
        <f>1921/25.4</f>
        <v>75.629921259842519</v>
      </c>
      <c r="K77" s="297">
        <v>0.36</v>
      </c>
      <c r="L77" s="296">
        <v>28.3</v>
      </c>
      <c r="M77" s="297">
        <f>I77*J77</f>
        <v>212.52007874015749</v>
      </c>
    </row>
    <row r="78" spans="2:13" ht="33" customHeight="1" x14ac:dyDescent="0.25">
      <c r="B78" s="379"/>
      <c r="C78" s="172">
        <v>77</v>
      </c>
      <c r="D78" s="297" t="s">
        <v>239</v>
      </c>
      <c r="E78" s="331">
        <v>6</v>
      </c>
      <c r="F78" s="296" t="s">
        <v>201</v>
      </c>
      <c r="G78" s="297">
        <f t="shared" si="10"/>
        <v>11.811023622047244</v>
      </c>
      <c r="H78" s="297">
        <f t="shared" si="11"/>
        <v>441.67874015748032</v>
      </c>
      <c r="I78" s="296">
        <v>2.92</v>
      </c>
      <c r="J78" s="297">
        <f>1921/25.4</f>
        <v>75.629921259842519</v>
      </c>
      <c r="K78" s="297">
        <v>1.52</v>
      </c>
      <c r="L78" s="296">
        <v>26.2</v>
      </c>
      <c r="M78" s="297">
        <f t="shared" ref="M78" si="12">I78*J78</f>
        <v>220.83937007874016</v>
      </c>
    </row>
    <row r="79" spans="2:13" ht="15.75" x14ac:dyDescent="0.25">
      <c r="B79" s="375" t="s">
        <v>240</v>
      </c>
      <c r="C79" s="172">
        <v>78</v>
      </c>
      <c r="D79" s="173" t="s">
        <v>186</v>
      </c>
      <c r="E79" s="330">
        <v>6</v>
      </c>
      <c r="F79" s="172" t="s">
        <v>204</v>
      </c>
      <c r="G79" s="173">
        <f t="shared" ref="G79:G84" si="13">300/25.4</f>
        <v>11.811023622047244</v>
      </c>
      <c r="H79" s="173">
        <f>4800/25.4</f>
        <v>188.97637795275591</v>
      </c>
      <c r="I79" s="298">
        <f t="shared" ref="I79:I84" si="14">H79/J79/2</f>
        <v>2.5945945945945943</v>
      </c>
      <c r="J79" s="173">
        <f t="shared" ref="J79:J84" si="15">925/25.4</f>
        <v>36.417322834645674</v>
      </c>
      <c r="K79" s="173">
        <v>0.98</v>
      </c>
      <c r="L79" s="172">
        <v>64</v>
      </c>
      <c r="M79" s="287">
        <f t="shared" si="9"/>
        <v>94.488188976377955</v>
      </c>
    </row>
    <row r="80" spans="2:13" ht="15.75" x14ac:dyDescent="0.25">
      <c r="B80" s="376"/>
      <c r="C80" s="172">
        <v>79</v>
      </c>
      <c r="D80" s="173" t="s">
        <v>187</v>
      </c>
      <c r="E80" s="330">
        <v>5</v>
      </c>
      <c r="F80" s="172" t="s">
        <v>204</v>
      </c>
      <c r="G80" s="173">
        <f t="shared" si="13"/>
        <v>11.811023622047244</v>
      </c>
      <c r="H80" s="173">
        <f>3600/25.4</f>
        <v>141.73228346456693</v>
      </c>
      <c r="I80" s="298">
        <f t="shared" si="14"/>
        <v>1.9459459459459458</v>
      </c>
      <c r="J80" s="173">
        <f t="shared" si="15"/>
        <v>36.417322834645674</v>
      </c>
      <c r="K80" s="173">
        <v>0.98</v>
      </c>
      <c r="L80" s="172">
        <v>39</v>
      </c>
      <c r="M80" s="287">
        <f t="shared" si="9"/>
        <v>70.866141732283467</v>
      </c>
    </row>
    <row r="81" spans="2:13" ht="15.75" x14ac:dyDescent="0.25">
      <c r="B81" s="376"/>
      <c r="C81" s="172">
        <v>80</v>
      </c>
      <c r="D81" s="173" t="s">
        <v>188</v>
      </c>
      <c r="E81" s="330">
        <v>7</v>
      </c>
      <c r="F81" s="172" t="s">
        <v>204</v>
      </c>
      <c r="G81" s="173">
        <f t="shared" si="13"/>
        <v>11.811023622047244</v>
      </c>
      <c r="H81" s="173">
        <f>3600/25.4</f>
        <v>141.73228346456693</v>
      </c>
      <c r="I81" s="298">
        <f t="shared" si="14"/>
        <v>1.9459459459459458</v>
      </c>
      <c r="J81" s="173">
        <f t="shared" si="15"/>
        <v>36.417322834645674</v>
      </c>
      <c r="K81" s="173">
        <v>0.98</v>
      </c>
      <c r="L81" s="172">
        <v>45</v>
      </c>
      <c r="M81" s="287">
        <f t="shared" si="9"/>
        <v>70.866141732283467</v>
      </c>
    </row>
    <row r="82" spans="2:13" ht="15.75" x14ac:dyDescent="0.25">
      <c r="B82" s="376"/>
      <c r="C82" s="172">
        <v>81</v>
      </c>
      <c r="D82" s="173" t="s">
        <v>189</v>
      </c>
      <c r="E82" s="330">
        <v>7</v>
      </c>
      <c r="F82" s="172" t="s">
        <v>204</v>
      </c>
      <c r="G82" s="173">
        <f t="shared" si="13"/>
        <v>11.811023622047244</v>
      </c>
      <c r="H82" s="173">
        <f>3600/25.4</f>
        <v>141.73228346456693</v>
      </c>
      <c r="I82" s="298">
        <f t="shared" si="14"/>
        <v>1.9459459459459458</v>
      </c>
      <c r="J82" s="173">
        <f t="shared" si="15"/>
        <v>36.417322834645674</v>
      </c>
      <c r="K82" s="173">
        <v>0.98</v>
      </c>
      <c r="L82" s="172">
        <v>39</v>
      </c>
      <c r="M82" s="287">
        <f t="shared" si="9"/>
        <v>70.866141732283467</v>
      </c>
    </row>
    <row r="83" spans="2:13" ht="15.75" x14ac:dyDescent="0.25">
      <c r="B83" s="376"/>
      <c r="C83" s="172">
        <v>82</v>
      </c>
      <c r="D83" s="173" t="s">
        <v>190</v>
      </c>
      <c r="E83" s="330">
        <v>8</v>
      </c>
      <c r="F83" s="172" t="s">
        <v>204</v>
      </c>
      <c r="G83" s="173">
        <f t="shared" si="13"/>
        <v>11.811023622047244</v>
      </c>
      <c r="H83" s="173">
        <f>4800/25.4</f>
        <v>188.97637795275591</v>
      </c>
      <c r="I83" s="298">
        <f t="shared" si="14"/>
        <v>2.5945945945945943</v>
      </c>
      <c r="J83" s="173">
        <f t="shared" si="15"/>
        <v>36.417322834645674</v>
      </c>
      <c r="K83" s="173">
        <v>0.98</v>
      </c>
      <c r="L83" s="172">
        <v>45</v>
      </c>
      <c r="M83" s="287">
        <f t="shared" si="9"/>
        <v>94.488188976377955</v>
      </c>
    </row>
    <row r="84" spans="2:13" ht="15.75" x14ac:dyDescent="0.25">
      <c r="B84" s="377"/>
      <c r="C84" s="172">
        <v>83</v>
      </c>
      <c r="D84" s="173" t="s">
        <v>191</v>
      </c>
      <c r="E84" s="330">
        <v>9</v>
      </c>
      <c r="F84" s="172" t="s">
        <v>205</v>
      </c>
      <c r="G84" s="173">
        <f t="shared" si="13"/>
        <v>11.811023622047244</v>
      </c>
      <c r="H84" s="173">
        <f>6000/25.4</f>
        <v>236.22047244094489</v>
      </c>
      <c r="I84" s="298">
        <f t="shared" si="14"/>
        <v>3.243243243243243</v>
      </c>
      <c r="J84" s="173">
        <f t="shared" si="15"/>
        <v>36.417322834645674</v>
      </c>
      <c r="K84" s="173">
        <v>0.98</v>
      </c>
      <c r="L84" s="172">
        <v>58</v>
      </c>
      <c r="M84" s="287">
        <f t="shared" si="9"/>
        <v>118.11023622047244</v>
      </c>
    </row>
    <row r="85" spans="2:13" ht="30" customHeight="1" x14ac:dyDescent="0.25">
      <c r="B85" s="375" t="s">
        <v>241</v>
      </c>
      <c r="C85" s="172">
        <v>84</v>
      </c>
      <c r="D85" s="172" t="s">
        <v>207</v>
      </c>
      <c r="E85" s="330">
        <v>7</v>
      </c>
      <c r="F85" s="336" t="s">
        <v>197</v>
      </c>
      <c r="G85" s="172">
        <f>200/25.4</f>
        <v>7.8740157480314963</v>
      </c>
      <c r="H85" s="172">
        <f>2*I85*J85</f>
        <v>118.11023622047244</v>
      </c>
      <c r="I85" s="173">
        <v>5</v>
      </c>
      <c r="J85" s="173">
        <f>300/25.4</f>
        <v>11.811023622047244</v>
      </c>
      <c r="K85" s="172">
        <v>1.57</v>
      </c>
      <c r="L85" s="172">
        <v>49.2</v>
      </c>
      <c r="M85" s="287">
        <f t="shared" si="9"/>
        <v>59.055118110236222</v>
      </c>
    </row>
    <row r="86" spans="2:13" ht="30.75" customHeight="1" x14ac:dyDescent="0.25">
      <c r="B86" s="376"/>
      <c r="C86" s="172">
        <v>85</v>
      </c>
      <c r="D86" s="172" t="s">
        <v>208</v>
      </c>
      <c r="E86" s="330">
        <v>14</v>
      </c>
      <c r="F86" s="336" t="s">
        <v>210</v>
      </c>
      <c r="G86" s="172">
        <f>200/25.4</f>
        <v>7.8740157480314963</v>
      </c>
      <c r="H86" s="172">
        <f>2*I86*J86</f>
        <v>118.11023622047244</v>
      </c>
      <c r="I86" s="173">
        <v>5</v>
      </c>
      <c r="J86" s="173">
        <f>300/25.4</f>
        <v>11.811023622047244</v>
      </c>
      <c r="K86" s="172">
        <v>2.36</v>
      </c>
      <c r="L86" s="172">
        <v>49.45</v>
      </c>
      <c r="M86" s="287">
        <f t="shared" si="9"/>
        <v>59.055118110236222</v>
      </c>
    </row>
    <row r="87" spans="2:13" ht="29.25" customHeight="1" x14ac:dyDescent="0.25">
      <c r="B87" s="376"/>
      <c r="C87" s="172">
        <v>86</v>
      </c>
      <c r="D87" s="172" t="s">
        <v>209</v>
      </c>
      <c r="E87" s="330">
        <v>7</v>
      </c>
      <c r="F87" s="336" t="s">
        <v>210</v>
      </c>
      <c r="G87" s="172">
        <f>200/25.4</f>
        <v>7.8740157480314963</v>
      </c>
      <c r="H87" s="172">
        <f>2*I87*J87</f>
        <v>70.866141732283467</v>
      </c>
      <c r="I87" s="173">
        <v>3</v>
      </c>
      <c r="J87" s="173">
        <f>300/25.4</f>
        <v>11.811023622047244</v>
      </c>
      <c r="K87" s="172">
        <v>3.14</v>
      </c>
      <c r="L87" s="172">
        <v>54.8</v>
      </c>
      <c r="M87" s="287">
        <f t="shared" si="9"/>
        <v>35.433070866141733</v>
      </c>
    </row>
    <row r="88" spans="2:13" ht="15.75" x14ac:dyDescent="0.25">
      <c r="B88" s="368" t="s">
        <v>135</v>
      </c>
      <c r="C88" s="368"/>
      <c r="D88" s="368"/>
      <c r="E88" s="330">
        <f>SUM(E2:E87)</f>
        <v>563</v>
      </c>
      <c r="F88"/>
      <c r="G88"/>
      <c r="H88"/>
      <c r="I88"/>
      <c r="J88"/>
      <c r="K88"/>
      <c r="L88"/>
      <c r="M88"/>
    </row>
    <row r="89" spans="2:13" x14ac:dyDescent="0.25">
      <c r="E89" s="332"/>
      <c r="F89"/>
      <c r="G89"/>
      <c r="H89"/>
      <c r="I89"/>
      <c r="J89"/>
      <c r="K89"/>
      <c r="L89"/>
      <c r="M89"/>
    </row>
    <row r="90" spans="2:13" x14ac:dyDescent="0.25">
      <c r="E90" s="332"/>
      <c r="F90"/>
      <c r="G90"/>
      <c r="H90"/>
      <c r="I90"/>
      <c r="J90"/>
      <c r="K90"/>
      <c r="L90"/>
      <c r="M90"/>
    </row>
    <row r="91" spans="2:13" x14ac:dyDescent="0.25">
      <c r="D91">
        <f>E88-47-28-42-52</f>
        <v>394</v>
      </c>
      <c r="E91" s="332"/>
      <c r="F91"/>
      <c r="G91"/>
      <c r="H91"/>
      <c r="I91"/>
      <c r="J91"/>
      <c r="K91"/>
      <c r="L91"/>
      <c r="M91"/>
    </row>
    <row r="92" spans="2:13" x14ac:dyDescent="0.25">
      <c r="E92" s="332"/>
      <c r="F92"/>
      <c r="G92"/>
      <c r="H92"/>
      <c r="I92"/>
      <c r="J92"/>
      <c r="K92"/>
      <c r="L92"/>
      <c r="M92"/>
    </row>
    <row r="93" spans="2:13" x14ac:dyDescent="0.25">
      <c r="L93"/>
      <c r="M93"/>
    </row>
    <row r="94" spans="2:13" x14ac:dyDescent="0.25">
      <c r="L94"/>
      <c r="M94"/>
    </row>
    <row r="95" spans="2:13" x14ac:dyDescent="0.25">
      <c r="L95"/>
      <c r="M95"/>
    </row>
    <row r="96" spans="2:13" x14ac:dyDescent="0.25">
      <c r="L96"/>
      <c r="M96"/>
    </row>
    <row r="97" spans="12:13" x14ac:dyDescent="0.25">
      <c r="L97"/>
      <c r="M97"/>
    </row>
    <row r="98" spans="12:13" x14ac:dyDescent="0.25">
      <c r="L98"/>
      <c r="M98"/>
    </row>
    <row r="99" spans="12:13" x14ac:dyDescent="0.25">
      <c r="L99"/>
      <c r="M99"/>
    </row>
    <row r="100" spans="12:13" x14ac:dyDescent="0.25">
      <c r="L100"/>
      <c r="M100"/>
    </row>
    <row r="101" spans="12:13" x14ac:dyDescent="0.25">
      <c r="L101"/>
      <c r="M101"/>
    </row>
    <row r="102" spans="12:13" x14ac:dyDescent="0.25">
      <c r="L102"/>
      <c r="M102"/>
    </row>
    <row r="103" spans="12:13" x14ac:dyDescent="0.25">
      <c r="L103"/>
      <c r="M103"/>
    </row>
    <row r="104" spans="12:13" x14ac:dyDescent="0.25">
      <c r="L104"/>
      <c r="M104"/>
    </row>
    <row r="105" spans="12:13" x14ac:dyDescent="0.25">
      <c r="L105"/>
      <c r="M105"/>
    </row>
    <row r="106" spans="12:13" x14ac:dyDescent="0.25">
      <c r="L106"/>
      <c r="M106"/>
    </row>
    <row r="107" spans="12:13" x14ac:dyDescent="0.25">
      <c r="L107"/>
      <c r="M107"/>
    </row>
    <row r="108" spans="12:13" x14ac:dyDescent="0.25">
      <c r="L108"/>
      <c r="M108"/>
    </row>
    <row r="109" spans="12:13" x14ac:dyDescent="0.25">
      <c r="L109"/>
      <c r="M109"/>
    </row>
    <row r="110" spans="12:13" x14ac:dyDescent="0.25">
      <c r="L110"/>
      <c r="M110"/>
    </row>
    <row r="111" spans="12:13" x14ac:dyDescent="0.25">
      <c r="L111"/>
      <c r="M111"/>
    </row>
    <row r="112" spans="12:13" x14ac:dyDescent="0.25">
      <c r="L112"/>
      <c r="M112"/>
    </row>
    <row r="113" spans="12:13" x14ac:dyDescent="0.25">
      <c r="L113"/>
      <c r="M113"/>
    </row>
    <row r="114" spans="12:13" x14ac:dyDescent="0.25">
      <c r="L114"/>
      <c r="M114"/>
    </row>
    <row r="115" spans="12:13" x14ac:dyDescent="0.25">
      <c r="L115"/>
      <c r="M115"/>
    </row>
    <row r="116" spans="12:13" x14ac:dyDescent="0.25">
      <c r="L116"/>
      <c r="M116"/>
    </row>
    <row r="117" spans="12:13" x14ac:dyDescent="0.25">
      <c r="L117"/>
      <c r="M117"/>
    </row>
    <row r="118" spans="12:13" x14ac:dyDescent="0.25">
      <c r="L118"/>
      <c r="M118"/>
    </row>
    <row r="119" spans="12:13" x14ac:dyDescent="0.25">
      <c r="L119"/>
      <c r="M119"/>
    </row>
    <row r="120" spans="12:13" x14ac:dyDescent="0.25">
      <c r="L120"/>
      <c r="M120"/>
    </row>
    <row r="121" spans="12:13" x14ac:dyDescent="0.25">
      <c r="L121"/>
      <c r="M121"/>
    </row>
    <row r="122" spans="12:13" x14ac:dyDescent="0.25">
      <c r="L122"/>
      <c r="M122"/>
    </row>
    <row r="123" spans="12:13" x14ac:dyDescent="0.25">
      <c r="L123"/>
      <c r="M123"/>
    </row>
    <row r="124" spans="12:13" x14ac:dyDescent="0.25">
      <c r="L124"/>
      <c r="M124"/>
    </row>
    <row r="125" spans="12:13" x14ac:dyDescent="0.25">
      <c r="L125"/>
      <c r="M125"/>
    </row>
    <row r="126" spans="12:13" x14ac:dyDescent="0.25">
      <c r="L126"/>
      <c r="M126"/>
    </row>
    <row r="127" spans="12:13" x14ac:dyDescent="0.25">
      <c r="L127"/>
      <c r="M127"/>
    </row>
    <row r="128" spans="12:13" x14ac:dyDescent="0.25">
      <c r="L128"/>
      <c r="M128"/>
    </row>
    <row r="129" spans="12:13" x14ac:dyDescent="0.25">
      <c r="L129"/>
      <c r="M129"/>
    </row>
    <row r="130" spans="12:13" x14ac:dyDescent="0.25">
      <c r="L130"/>
      <c r="M130"/>
    </row>
    <row r="131" spans="12:13" x14ac:dyDescent="0.25">
      <c r="L131"/>
      <c r="M131"/>
    </row>
    <row r="132" spans="12:13" x14ac:dyDescent="0.25">
      <c r="L132"/>
      <c r="M132"/>
    </row>
    <row r="133" spans="12:13" x14ac:dyDescent="0.25">
      <c r="L133"/>
      <c r="M133"/>
    </row>
    <row r="134" spans="12:13" x14ac:dyDescent="0.25">
      <c r="L134"/>
      <c r="M134"/>
    </row>
    <row r="135" spans="12:13" x14ac:dyDescent="0.25">
      <c r="L135"/>
      <c r="M135"/>
    </row>
    <row r="136" spans="12:13" x14ac:dyDescent="0.25">
      <c r="L136"/>
      <c r="M136"/>
    </row>
    <row r="137" spans="12:13" x14ac:dyDescent="0.25">
      <c r="L137"/>
      <c r="M137"/>
    </row>
    <row r="138" spans="12:13" x14ac:dyDescent="0.25">
      <c r="L138"/>
      <c r="M138"/>
    </row>
    <row r="139" spans="12:13" x14ac:dyDescent="0.25">
      <c r="L139"/>
      <c r="M139"/>
    </row>
    <row r="140" spans="12:13" x14ac:dyDescent="0.25">
      <c r="L140"/>
      <c r="M140"/>
    </row>
    <row r="141" spans="12:13" x14ac:dyDescent="0.25">
      <c r="L141"/>
      <c r="M141"/>
    </row>
    <row r="142" spans="12:13" x14ac:dyDescent="0.25">
      <c r="L142"/>
      <c r="M142"/>
    </row>
    <row r="143" spans="12:13" x14ac:dyDescent="0.25">
      <c r="L143"/>
      <c r="M143"/>
    </row>
    <row r="144" spans="12:13" x14ac:dyDescent="0.25">
      <c r="L144"/>
      <c r="M144"/>
    </row>
    <row r="145" spans="12:13" x14ac:dyDescent="0.25">
      <c r="L145"/>
      <c r="M145"/>
    </row>
    <row r="146" spans="12:13" x14ac:dyDescent="0.25">
      <c r="L146"/>
      <c r="M146"/>
    </row>
    <row r="147" spans="12:13" x14ac:dyDescent="0.25">
      <c r="L147"/>
      <c r="M147"/>
    </row>
    <row r="148" spans="12:13" x14ac:dyDescent="0.25">
      <c r="L148"/>
      <c r="M148"/>
    </row>
    <row r="149" spans="12:13" x14ac:dyDescent="0.25">
      <c r="L149"/>
      <c r="M149"/>
    </row>
    <row r="150" spans="12:13" x14ac:dyDescent="0.25">
      <c r="L150"/>
      <c r="M150"/>
    </row>
    <row r="151" spans="12:13" x14ac:dyDescent="0.25">
      <c r="L151"/>
      <c r="M151"/>
    </row>
    <row r="152" spans="12:13" x14ac:dyDescent="0.25">
      <c r="L152"/>
      <c r="M152"/>
    </row>
    <row r="153" spans="12:13" x14ac:dyDescent="0.25">
      <c r="L153"/>
      <c r="M153"/>
    </row>
    <row r="154" spans="12:13" x14ac:dyDescent="0.25">
      <c r="L154"/>
      <c r="M154"/>
    </row>
    <row r="155" spans="12:13" x14ac:dyDescent="0.25">
      <c r="L155"/>
      <c r="M155"/>
    </row>
    <row r="156" spans="12:13" x14ac:dyDescent="0.25">
      <c r="L156"/>
      <c r="M156"/>
    </row>
    <row r="157" spans="12:13" x14ac:dyDescent="0.25">
      <c r="L157"/>
      <c r="M157"/>
    </row>
    <row r="158" spans="12:13" x14ac:dyDescent="0.25">
      <c r="L158"/>
      <c r="M158"/>
    </row>
    <row r="159" spans="12:13" x14ac:dyDescent="0.25">
      <c r="L159"/>
      <c r="M159"/>
    </row>
    <row r="160" spans="12:13" x14ac:dyDescent="0.25">
      <c r="L160"/>
      <c r="M160"/>
    </row>
    <row r="161" spans="12:13" x14ac:dyDescent="0.25">
      <c r="L161"/>
      <c r="M161"/>
    </row>
    <row r="162" spans="12:13" x14ac:dyDescent="0.25">
      <c r="L162"/>
      <c r="M162"/>
    </row>
    <row r="163" spans="12:13" x14ac:dyDescent="0.25">
      <c r="L163"/>
      <c r="M163"/>
    </row>
    <row r="164" spans="12:13" x14ac:dyDescent="0.25">
      <c r="L164"/>
      <c r="M164"/>
    </row>
    <row r="165" spans="12:13" x14ac:dyDescent="0.25">
      <c r="L165"/>
      <c r="M165"/>
    </row>
    <row r="166" spans="12:13" x14ac:dyDescent="0.25">
      <c r="L166"/>
      <c r="M166"/>
    </row>
    <row r="167" spans="12:13" x14ac:dyDescent="0.25">
      <c r="L167"/>
      <c r="M167"/>
    </row>
    <row r="168" spans="12:13" x14ac:dyDescent="0.25">
      <c r="L168"/>
      <c r="M168"/>
    </row>
    <row r="169" spans="12:13" x14ac:dyDescent="0.25">
      <c r="L169"/>
      <c r="M169"/>
    </row>
    <row r="170" spans="12:13" x14ac:dyDescent="0.25">
      <c r="L170"/>
      <c r="M170"/>
    </row>
    <row r="171" spans="12:13" x14ac:dyDescent="0.25">
      <c r="L171"/>
      <c r="M171"/>
    </row>
    <row r="172" spans="12:13" x14ac:dyDescent="0.25">
      <c r="L172"/>
      <c r="M172"/>
    </row>
    <row r="173" spans="12:13" x14ac:dyDescent="0.25">
      <c r="L173"/>
      <c r="M173"/>
    </row>
    <row r="174" spans="12:13" x14ac:dyDescent="0.25">
      <c r="L174"/>
      <c r="M174"/>
    </row>
    <row r="175" spans="12:13" x14ac:dyDescent="0.25">
      <c r="L175"/>
      <c r="M175"/>
    </row>
    <row r="176" spans="12:13" x14ac:dyDescent="0.25">
      <c r="L176"/>
      <c r="M176"/>
    </row>
    <row r="177" spans="12:13" x14ac:dyDescent="0.25">
      <c r="L177"/>
      <c r="M177"/>
    </row>
    <row r="178" spans="12:13" x14ac:dyDescent="0.25">
      <c r="L178"/>
      <c r="M178"/>
    </row>
    <row r="179" spans="12:13" x14ac:dyDescent="0.25">
      <c r="L179"/>
      <c r="M179"/>
    </row>
    <row r="180" spans="12:13" x14ac:dyDescent="0.25">
      <c r="L180"/>
      <c r="M180"/>
    </row>
    <row r="181" spans="12:13" x14ac:dyDescent="0.25">
      <c r="L181"/>
      <c r="M181"/>
    </row>
    <row r="182" spans="12:13" x14ac:dyDescent="0.25">
      <c r="L182"/>
      <c r="M182"/>
    </row>
    <row r="183" spans="12:13" x14ac:dyDescent="0.25">
      <c r="L183"/>
      <c r="M183"/>
    </row>
    <row r="184" spans="12:13" x14ac:dyDescent="0.25">
      <c r="L184"/>
      <c r="M184"/>
    </row>
    <row r="185" spans="12:13" x14ac:dyDescent="0.25">
      <c r="L185"/>
      <c r="M185"/>
    </row>
    <row r="186" spans="12:13" x14ac:dyDescent="0.25">
      <c r="L186"/>
      <c r="M186"/>
    </row>
    <row r="187" spans="12:13" x14ac:dyDescent="0.25">
      <c r="L187"/>
      <c r="M187"/>
    </row>
    <row r="188" spans="12:13" x14ac:dyDescent="0.25">
      <c r="L188"/>
      <c r="M188"/>
    </row>
    <row r="189" spans="12:13" x14ac:dyDescent="0.25">
      <c r="L189"/>
      <c r="M189"/>
    </row>
    <row r="190" spans="12:13" x14ac:dyDescent="0.25">
      <c r="L190"/>
      <c r="M190"/>
    </row>
    <row r="191" spans="12:13" x14ac:dyDescent="0.25">
      <c r="L191"/>
      <c r="M191"/>
    </row>
    <row r="192" spans="12:13" x14ac:dyDescent="0.25">
      <c r="L192"/>
      <c r="M192"/>
    </row>
    <row r="193" spans="12:13" x14ac:dyDescent="0.25">
      <c r="L193"/>
      <c r="M193"/>
    </row>
    <row r="194" spans="12:13" x14ac:dyDescent="0.25">
      <c r="L194"/>
      <c r="M194"/>
    </row>
    <row r="195" spans="12:13" x14ac:dyDescent="0.25">
      <c r="L195"/>
      <c r="M195"/>
    </row>
    <row r="196" spans="12:13" x14ac:dyDescent="0.25">
      <c r="L196"/>
      <c r="M196"/>
    </row>
    <row r="197" spans="12:13" x14ac:dyDescent="0.25">
      <c r="L197"/>
      <c r="M197"/>
    </row>
    <row r="198" spans="12:13" x14ac:dyDescent="0.25">
      <c r="L198"/>
      <c r="M198"/>
    </row>
    <row r="199" spans="12:13" x14ac:dyDescent="0.25">
      <c r="L199"/>
      <c r="M199"/>
    </row>
    <row r="200" spans="12:13" x14ac:dyDescent="0.25">
      <c r="L200"/>
      <c r="M200"/>
    </row>
    <row r="201" spans="12:13" x14ac:dyDescent="0.25">
      <c r="L201"/>
      <c r="M201"/>
    </row>
    <row r="202" spans="12:13" x14ac:dyDescent="0.25">
      <c r="L202"/>
      <c r="M202"/>
    </row>
    <row r="203" spans="12:13" x14ac:dyDescent="0.25">
      <c r="L203"/>
      <c r="M203"/>
    </row>
    <row r="204" spans="12:13" x14ac:dyDescent="0.25">
      <c r="L204"/>
      <c r="M204"/>
    </row>
    <row r="205" spans="12:13" x14ac:dyDescent="0.25">
      <c r="L205"/>
      <c r="M205"/>
    </row>
    <row r="206" spans="12:13" x14ac:dyDescent="0.25">
      <c r="L206"/>
      <c r="M206"/>
    </row>
    <row r="207" spans="12:13" x14ac:dyDescent="0.25">
      <c r="L207"/>
      <c r="M207"/>
    </row>
    <row r="208" spans="12:13" x14ac:dyDescent="0.25">
      <c r="L208"/>
      <c r="M208"/>
    </row>
    <row r="209" spans="12:13" x14ac:dyDescent="0.25">
      <c r="L209"/>
      <c r="M209"/>
    </row>
    <row r="210" spans="12:13" x14ac:dyDescent="0.25">
      <c r="L210"/>
      <c r="M210"/>
    </row>
    <row r="211" spans="12:13" x14ac:dyDescent="0.25">
      <c r="L211"/>
      <c r="M211"/>
    </row>
    <row r="212" spans="12:13" x14ac:dyDescent="0.25">
      <c r="L212"/>
      <c r="M212"/>
    </row>
    <row r="213" spans="12:13" x14ac:dyDescent="0.25">
      <c r="L213"/>
      <c r="M213"/>
    </row>
    <row r="214" spans="12:13" x14ac:dyDescent="0.25">
      <c r="L214"/>
      <c r="M214"/>
    </row>
    <row r="215" spans="12:13" x14ac:dyDescent="0.25">
      <c r="L215"/>
      <c r="M215"/>
    </row>
    <row r="216" spans="12:13" x14ac:dyDescent="0.25">
      <c r="L216"/>
      <c r="M216"/>
    </row>
    <row r="217" spans="12:13" x14ac:dyDescent="0.25">
      <c r="L217"/>
      <c r="M217"/>
    </row>
    <row r="218" spans="12:13" x14ac:dyDescent="0.25">
      <c r="L218"/>
      <c r="M218"/>
    </row>
    <row r="219" spans="12:13" x14ac:dyDescent="0.25">
      <c r="L219"/>
      <c r="M219"/>
    </row>
    <row r="220" spans="12:13" x14ac:dyDescent="0.25">
      <c r="L220"/>
      <c r="M220"/>
    </row>
    <row r="221" spans="12:13" x14ac:dyDescent="0.25">
      <c r="L221"/>
      <c r="M221"/>
    </row>
    <row r="222" spans="12:13" x14ac:dyDescent="0.25">
      <c r="L222"/>
      <c r="M222"/>
    </row>
    <row r="223" spans="12:13" x14ac:dyDescent="0.25">
      <c r="L223"/>
      <c r="M223"/>
    </row>
    <row r="224" spans="12:13" x14ac:dyDescent="0.25">
      <c r="L224"/>
      <c r="M224"/>
    </row>
    <row r="225" spans="12:13" x14ac:dyDescent="0.25">
      <c r="L225"/>
      <c r="M225"/>
    </row>
    <row r="226" spans="12:13" x14ac:dyDescent="0.25">
      <c r="L226"/>
      <c r="M226"/>
    </row>
    <row r="227" spans="12:13" x14ac:dyDescent="0.25">
      <c r="L227"/>
      <c r="M227"/>
    </row>
    <row r="228" spans="12:13" x14ac:dyDescent="0.25">
      <c r="L228"/>
      <c r="M228"/>
    </row>
    <row r="229" spans="12:13" x14ac:dyDescent="0.25">
      <c r="L229"/>
      <c r="M229"/>
    </row>
    <row r="230" spans="12:13" x14ac:dyDescent="0.25">
      <c r="L230"/>
      <c r="M230"/>
    </row>
    <row r="231" spans="12:13" x14ac:dyDescent="0.25">
      <c r="L231"/>
      <c r="M231"/>
    </row>
    <row r="232" spans="12:13" x14ac:dyDescent="0.25">
      <c r="L232"/>
      <c r="M232"/>
    </row>
    <row r="233" spans="12:13" x14ac:dyDescent="0.25">
      <c r="L233"/>
      <c r="M233"/>
    </row>
    <row r="234" spans="12:13" x14ac:dyDescent="0.25">
      <c r="L234"/>
      <c r="M234"/>
    </row>
    <row r="235" spans="12:13" x14ac:dyDescent="0.25">
      <c r="L235"/>
      <c r="M235"/>
    </row>
    <row r="236" spans="12:13" x14ac:dyDescent="0.25">
      <c r="L236"/>
      <c r="M236"/>
    </row>
    <row r="237" spans="12:13" x14ac:dyDescent="0.25">
      <c r="L237"/>
      <c r="M237"/>
    </row>
    <row r="238" spans="12:13" x14ac:dyDescent="0.25">
      <c r="L238"/>
      <c r="M238"/>
    </row>
    <row r="239" spans="12:13" x14ac:dyDescent="0.25">
      <c r="L239"/>
      <c r="M239"/>
    </row>
    <row r="240" spans="12:13" x14ac:dyDescent="0.25">
      <c r="L240"/>
      <c r="M240"/>
    </row>
    <row r="241" spans="12:13" x14ac:dyDescent="0.25">
      <c r="L241"/>
      <c r="M241"/>
    </row>
    <row r="242" spans="12:13" x14ac:dyDescent="0.25">
      <c r="L242"/>
      <c r="M242"/>
    </row>
    <row r="243" spans="12:13" x14ac:dyDescent="0.25">
      <c r="L243"/>
      <c r="M243"/>
    </row>
    <row r="244" spans="12:13" x14ac:dyDescent="0.25">
      <c r="L244"/>
      <c r="M244"/>
    </row>
    <row r="245" spans="12:13" x14ac:dyDescent="0.25">
      <c r="L245"/>
      <c r="M245"/>
    </row>
    <row r="246" spans="12:13" x14ac:dyDescent="0.25">
      <c r="L246"/>
      <c r="M246"/>
    </row>
    <row r="247" spans="12:13" x14ac:dyDescent="0.25">
      <c r="L247"/>
      <c r="M247"/>
    </row>
    <row r="248" spans="12:13" x14ac:dyDescent="0.25">
      <c r="L248"/>
      <c r="M248"/>
    </row>
    <row r="249" spans="12:13" x14ac:dyDescent="0.25">
      <c r="L249"/>
      <c r="M249"/>
    </row>
    <row r="250" spans="12:13" x14ac:dyDescent="0.25">
      <c r="L250"/>
      <c r="M250"/>
    </row>
    <row r="251" spans="12:13" x14ac:dyDescent="0.25">
      <c r="L251"/>
      <c r="M251"/>
    </row>
    <row r="252" spans="12:13" x14ac:dyDescent="0.25">
      <c r="L252"/>
      <c r="M252"/>
    </row>
    <row r="253" spans="12:13" x14ac:dyDescent="0.25">
      <c r="L253"/>
      <c r="M253"/>
    </row>
    <row r="254" spans="12:13" x14ac:dyDescent="0.25">
      <c r="L254"/>
      <c r="M254"/>
    </row>
    <row r="255" spans="12:13" x14ac:dyDescent="0.25">
      <c r="L255"/>
      <c r="M255"/>
    </row>
    <row r="256" spans="12:13" x14ac:dyDescent="0.25">
      <c r="L256"/>
      <c r="M256"/>
    </row>
    <row r="257" spans="12:13" x14ac:dyDescent="0.25">
      <c r="L257"/>
      <c r="M257"/>
    </row>
    <row r="258" spans="12:13" x14ac:dyDescent="0.25">
      <c r="L258"/>
      <c r="M258"/>
    </row>
    <row r="259" spans="12:13" x14ac:dyDescent="0.25">
      <c r="L259"/>
      <c r="M259"/>
    </row>
    <row r="260" spans="12:13" x14ac:dyDescent="0.25">
      <c r="L260"/>
      <c r="M260"/>
    </row>
    <row r="261" spans="12:13" x14ac:dyDescent="0.25">
      <c r="L261"/>
      <c r="M261"/>
    </row>
    <row r="262" spans="12:13" x14ac:dyDescent="0.25">
      <c r="L262"/>
      <c r="M262"/>
    </row>
    <row r="263" spans="12:13" x14ac:dyDescent="0.25">
      <c r="L263"/>
      <c r="M263"/>
    </row>
    <row r="264" spans="12:13" x14ac:dyDescent="0.25">
      <c r="L264"/>
      <c r="M264"/>
    </row>
    <row r="265" spans="12:13" x14ac:dyDescent="0.25">
      <c r="L265"/>
      <c r="M265"/>
    </row>
    <row r="266" spans="12:13" x14ac:dyDescent="0.25">
      <c r="L266"/>
      <c r="M266"/>
    </row>
    <row r="267" spans="12:13" x14ac:dyDescent="0.25">
      <c r="L267"/>
      <c r="M267"/>
    </row>
    <row r="268" spans="12:13" x14ac:dyDescent="0.25">
      <c r="L268"/>
      <c r="M268"/>
    </row>
    <row r="269" spans="12:13" x14ac:dyDescent="0.25">
      <c r="L269"/>
      <c r="M269"/>
    </row>
  </sheetData>
  <mergeCells count="9">
    <mergeCell ref="B2:B18"/>
    <mergeCell ref="B19:B26"/>
    <mergeCell ref="B27:B34"/>
    <mergeCell ref="B88:D88"/>
    <mergeCell ref="B35:B44"/>
    <mergeCell ref="B45:B74"/>
    <mergeCell ref="B79:B84"/>
    <mergeCell ref="B85:B87"/>
    <mergeCell ref="B77:B78"/>
  </mergeCells>
  <pageMargins left="0.7" right="0.7" top="0.75" bottom="0.75" header="0.3" footer="0.3"/>
  <pageSetup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zoomScale="85" zoomScaleNormal="85" workbookViewId="0">
      <selection activeCell="B1" sqref="B1:K12"/>
    </sheetView>
  </sheetViews>
  <sheetFormatPr defaultRowHeight="15" x14ac:dyDescent="0.25"/>
  <cols>
    <col min="2" max="2" width="13.5703125" customWidth="1"/>
    <col min="3" max="3" width="10" customWidth="1"/>
    <col min="4" max="4" width="12.85546875" customWidth="1"/>
    <col min="5" max="5" width="26.7109375" customWidth="1"/>
    <col min="6" max="6" width="11.140625" customWidth="1"/>
    <col min="7" max="7" width="14" customWidth="1"/>
    <col min="8" max="8" width="9.85546875" customWidth="1"/>
    <col min="9" max="9" width="11.140625" customWidth="1"/>
    <col min="10" max="10" width="11.85546875" customWidth="1"/>
    <col min="11" max="11" width="12.85546875" customWidth="1"/>
    <col min="12" max="12" width="10.28515625" customWidth="1"/>
  </cols>
  <sheetData>
    <row r="1" spans="2:11" ht="47.25" x14ac:dyDescent="0.25">
      <c r="B1" s="170"/>
      <c r="C1" s="170" t="s">
        <v>247</v>
      </c>
      <c r="D1" s="329" t="s">
        <v>248</v>
      </c>
      <c r="E1" s="170" t="s">
        <v>195</v>
      </c>
      <c r="F1" s="170" t="s">
        <v>121</v>
      </c>
      <c r="G1" s="170" t="s">
        <v>122</v>
      </c>
      <c r="H1" s="293" t="s">
        <v>120</v>
      </c>
      <c r="I1" s="168" t="s">
        <v>198</v>
      </c>
      <c r="J1" s="289" t="s">
        <v>124</v>
      </c>
      <c r="K1" s="171"/>
    </row>
    <row r="2" spans="2:11" ht="15.75" x14ac:dyDescent="0.25">
      <c r="B2" s="172" t="s">
        <v>242</v>
      </c>
      <c r="C2" s="172">
        <v>17</v>
      </c>
      <c r="D2" s="330">
        <v>47</v>
      </c>
      <c r="E2" s="173" t="s">
        <v>196</v>
      </c>
      <c r="F2" s="287">
        <v>7.87</v>
      </c>
      <c r="G2" s="287">
        <v>49.2</v>
      </c>
      <c r="H2" s="287" t="s">
        <v>251</v>
      </c>
      <c r="I2" s="287" t="s">
        <v>253</v>
      </c>
      <c r="J2" s="290" t="s">
        <v>252</v>
      </c>
      <c r="K2" s="288">
        <v>31.4</v>
      </c>
    </row>
    <row r="3" spans="2:11" ht="15.75" x14ac:dyDescent="0.25">
      <c r="B3" s="172" t="s">
        <v>243</v>
      </c>
      <c r="C3" s="172">
        <v>8</v>
      </c>
      <c r="D3" s="330">
        <v>52</v>
      </c>
      <c r="E3" s="173" t="s">
        <v>197</v>
      </c>
      <c r="F3" s="287" t="s">
        <v>254</v>
      </c>
      <c r="G3" s="287" t="s">
        <v>266</v>
      </c>
      <c r="H3" s="287">
        <v>2.2999999999999998</v>
      </c>
      <c r="I3" s="287" t="s">
        <v>256</v>
      </c>
      <c r="J3" s="290" t="s">
        <v>257</v>
      </c>
      <c r="K3" s="288" t="s">
        <v>258</v>
      </c>
    </row>
    <row r="4" spans="2:11" ht="15.75" x14ac:dyDescent="0.25">
      <c r="B4" s="172" t="s">
        <v>244</v>
      </c>
      <c r="C4" s="172">
        <v>8</v>
      </c>
      <c r="D4" s="330">
        <v>88</v>
      </c>
      <c r="E4" s="173" t="s">
        <v>197</v>
      </c>
      <c r="F4" s="335" t="s">
        <v>265</v>
      </c>
      <c r="G4" s="287" t="s">
        <v>259</v>
      </c>
      <c r="H4" s="287" t="s">
        <v>260</v>
      </c>
      <c r="I4" s="287" t="s">
        <v>261</v>
      </c>
      <c r="J4" s="290" t="s">
        <v>262</v>
      </c>
      <c r="K4" s="288" t="s">
        <v>263</v>
      </c>
    </row>
    <row r="5" spans="2:11" ht="15.75" x14ac:dyDescent="0.25">
      <c r="B5" s="172" t="s">
        <v>245</v>
      </c>
      <c r="C5" s="172">
        <v>10</v>
      </c>
      <c r="D5" s="330">
        <v>82</v>
      </c>
      <c r="E5" s="173" t="s">
        <v>197</v>
      </c>
      <c r="F5" s="287" t="s">
        <v>264</v>
      </c>
      <c r="G5" s="287" t="s">
        <v>267</v>
      </c>
      <c r="H5" s="287" t="s">
        <v>268</v>
      </c>
      <c r="I5" s="287" t="s">
        <v>269</v>
      </c>
      <c r="J5" s="290" t="s">
        <v>270</v>
      </c>
      <c r="K5" s="288" t="s">
        <v>271</v>
      </c>
    </row>
    <row r="6" spans="2:11" ht="15.75" x14ac:dyDescent="0.25">
      <c r="B6" s="172" t="s">
        <v>246</v>
      </c>
      <c r="C6" s="172">
        <v>30</v>
      </c>
      <c r="D6" s="330">
        <v>198</v>
      </c>
      <c r="E6" s="173" t="s">
        <v>255</v>
      </c>
      <c r="F6" s="287" t="s">
        <v>287</v>
      </c>
      <c r="G6" s="287" t="s">
        <v>272</v>
      </c>
      <c r="H6" s="287" t="s">
        <v>273</v>
      </c>
      <c r="I6" s="287" t="s">
        <v>274</v>
      </c>
      <c r="J6" s="290" t="s">
        <v>275</v>
      </c>
      <c r="K6" s="288" t="s">
        <v>276</v>
      </c>
    </row>
    <row r="7" spans="2:11" ht="15.75" x14ac:dyDescent="0.25">
      <c r="B7" s="172" t="s">
        <v>202</v>
      </c>
      <c r="C7" s="172">
        <v>1</v>
      </c>
      <c r="D7" s="330">
        <v>10</v>
      </c>
      <c r="E7" s="173" t="s">
        <v>249</v>
      </c>
      <c r="F7" s="287">
        <v>9.8000000000000007</v>
      </c>
      <c r="G7" s="287">
        <v>937</v>
      </c>
      <c r="H7" s="287">
        <v>3.1</v>
      </c>
      <c r="I7" s="287">
        <v>151.19999999999999</v>
      </c>
      <c r="J7" s="290">
        <v>0.7</v>
      </c>
      <c r="K7" s="288">
        <v>40</v>
      </c>
    </row>
    <row r="8" spans="2:11" ht="15.75" x14ac:dyDescent="0.25">
      <c r="B8" s="172" t="s">
        <v>203</v>
      </c>
      <c r="C8" s="172">
        <v>1</v>
      </c>
      <c r="D8" s="330">
        <v>4</v>
      </c>
      <c r="E8" s="173" t="s">
        <v>249</v>
      </c>
      <c r="F8" s="287">
        <v>11.8</v>
      </c>
      <c r="G8" s="287">
        <v>452.6</v>
      </c>
      <c r="H8" s="287">
        <v>2.9</v>
      </c>
      <c r="I8" s="287">
        <v>74.400000000000006</v>
      </c>
      <c r="J8" s="290">
        <v>0.7</v>
      </c>
      <c r="K8" s="288">
        <v>31.8</v>
      </c>
    </row>
    <row r="9" spans="2:11" ht="15.75" x14ac:dyDescent="0.25">
      <c r="B9" s="172" t="s">
        <v>206</v>
      </c>
      <c r="C9" s="172">
        <v>2</v>
      </c>
      <c r="D9" s="330">
        <v>12</v>
      </c>
      <c r="E9" s="173" t="s">
        <v>249</v>
      </c>
      <c r="F9" s="287">
        <v>11.8</v>
      </c>
      <c r="G9" s="287" t="s">
        <v>277</v>
      </c>
      <c r="H9" s="287" t="s">
        <v>278</v>
      </c>
      <c r="I9" s="287">
        <v>75.599999999999994</v>
      </c>
      <c r="J9" s="290" t="s">
        <v>279</v>
      </c>
      <c r="K9" s="288" t="s">
        <v>280</v>
      </c>
    </row>
    <row r="10" spans="2:11" ht="15.75" x14ac:dyDescent="0.25">
      <c r="B10" s="172" t="s">
        <v>240</v>
      </c>
      <c r="C10" s="172">
        <v>6</v>
      </c>
      <c r="D10" s="330">
        <v>42</v>
      </c>
      <c r="E10" s="334" t="s">
        <v>204</v>
      </c>
      <c r="F10" s="287">
        <v>11.81</v>
      </c>
      <c r="G10" s="287" t="s">
        <v>281</v>
      </c>
      <c r="H10" s="342" t="s">
        <v>282</v>
      </c>
      <c r="I10" s="287">
        <v>36.4</v>
      </c>
      <c r="J10" s="290">
        <v>0.98</v>
      </c>
      <c r="K10" s="288" t="s">
        <v>283</v>
      </c>
    </row>
    <row r="11" spans="2:11" ht="16.5" thickBot="1" x14ac:dyDescent="0.3">
      <c r="B11" s="337" t="s">
        <v>241</v>
      </c>
      <c r="C11" s="337">
        <v>3</v>
      </c>
      <c r="D11" s="338">
        <v>28</v>
      </c>
      <c r="E11" s="343" t="s">
        <v>250</v>
      </c>
      <c r="F11" s="344">
        <v>7.84</v>
      </c>
      <c r="G11" s="344" t="s">
        <v>284</v>
      </c>
      <c r="H11" s="344" t="s">
        <v>289</v>
      </c>
      <c r="I11" s="344">
        <v>11.81</v>
      </c>
      <c r="J11" s="345" t="s">
        <v>285</v>
      </c>
      <c r="K11" s="346" t="s">
        <v>286</v>
      </c>
    </row>
    <row r="12" spans="2:11" ht="16.5" thickBot="1" x14ac:dyDescent="0.3">
      <c r="B12" s="339" t="s">
        <v>294</v>
      </c>
      <c r="C12" s="340">
        <f>SUM(C2:C11)</f>
        <v>86</v>
      </c>
      <c r="D12" s="341">
        <f>SUM(D2:D11)</f>
        <v>563</v>
      </c>
      <c r="E12" s="347"/>
      <c r="F12" s="340" t="s">
        <v>287</v>
      </c>
      <c r="G12" s="341" t="s">
        <v>288</v>
      </c>
      <c r="H12" s="340" t="s">
        <v>293</v>
      </c>
      <c r="I12" s="341" t="s">
        <v>290</v>
      </c>
      <c r="J12" s="340" t="s">
        <v>291</v>
      </c>
      <c r="K12" s="341" t="s">
        <v>292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raw_Island</vt:lpstr>
      <vt:lpstr>all</vt:lpstr>
      <vt:lpstr>all_ex_postcap</vt:lpstr>
      <vt:lpstr>Purdu</vt:lpstr>
      <vt:lpstr>Purdu_ex_deep</vt:lpstr>
      <vt:lpstr>Purdu_2</vt:lpstr>
      <vt:lpstr>PCA</vt:lpstr>
      <vt:lpstr>PCA_ex_postcap</vt:lpstr>
      <vt:lpstr>Haunched</vt:lpstr>
      <vt:lpstr>Toronto</vt:lpstr>
      <vt:lpstr>4mdeep</vt:lpstr>
      <vt:lpstr>deep</vt:lpstr>
      <vt:lpstr>Uniform</vt:lpstr>
      <vt:lpstr>Uniform_0</vt:lpstr>
      <vt:lpstr>table_paper</vt:lpstr>
      <vt:lpstr>simpletable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Rouzbeh Davoudi</dc:creator>
  <cp:lastModifiedBy>Rouzbeh Davoudi</cp:lastModifiedBy>
  <dcterms:created xsi:type="dcterms:W3CDTF">2016-05-16T03:05:09Z</dcterms:created>
  <dcterms:modified xsi:type="dcterms:W3CDTF">2017-01-25T15:12:49Z</dcterms:modified>
</cp:coreProperties>
</file>